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queryTables/queryTable3.xml" ContentType="application/vnd.openxmlformats-officedocument.spreadsheetml.queryTable+xml"/>
  <Override PartName="/xl/queryTables/queryTable4.xml" ContentType="application/vnd.openxmlformats-officedocument.spreadsheetml.queryTable+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drawings/drawing5.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6.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harts/chart1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8.xml" ContentType="application/vnd.openxmlformats-officedocument.drawing+xml"/>
  <Override PartName="/xl/activeX/activeX77.xml" ContentType="application/vnd.ms-office.activeX+xml"/>
  <Override PartName="/xl/activeX/activeX77.bin" ContentType="application/vnd.ms-office.activeX"/>
  <Override PartName="/xl/drawings/drawing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1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01~我的投資\"/>
    </mc:Choice>
  </mc:AlternateContent>
  <bookViews>
    <workbookView xWindow="930" yWindow="0" windowWidth="27870" windowHeight="14280" tabRatio="861" activeTab="2"/>
  </bookViews>
  <sheets>
    <sheet name="基本設定" sheetId="4" r:id="rId1"/>
    <sheet name="收盤價" sheetId="15" r:id="rId2"/>
    <sheet name="紅綠燈" sheetId="1" r:id="rId3"/>
    <sheet name="評比系統" sheetId="2" r:id="rId4"/>
    <sheet name="篩股系統" sheetId="5" r:id="rId5"/>
    <sheet name="財報PK" sheetId="7" r:id="rId6"/>
    <sheet name="PK" sheetId="8" r:id="rId7"/>
    <sheet name="PKA" sheetId="9" r:id="rId8"/>
    <sheet name="PKB" sheetId="10" r:id="rId9"/>
    <sheet name="PKC" sheetId="11" r:id="rId10"/>
    <sheet name="福邦" sheetId="14" r:id="rId11"/>
    <sheet name="營收搶先報" sheetId="13" r:id="rId12"/>
    <sheet name="訊息追蹤" sheetId="16" r:id="rId13"/>
    <sheet name="PSR" sheetId="3" r:id="rId14"/>
    <sheet name="PRS" sheetId="17" r:id="rId15"/>
    <sheet name="篩穀結果" sheetId="6" r:id="rId16"/>
  </sheets>
  <definedNames>
    <definedName name="_xlnm._FilterDatabase" localSheetId="13" hidden="1">PSR!$A$1:$M$1502</definedName>
    <definedName name="_xlnm._FilterDatabase" localSheetId="15" hidden="1">篩穀結果!$A$1:$AC$1544</definedName>
    <definedName name="_xlnm._FilterDatabase" localSheetId="11" hidden="1">營收搶先報!$A$1:$K$702</definedName>
    <definedName name="EE" localSheetId="2">紅綠燈!#REF!</definedName>
    <definedName name="外部資料_1" localSheetId="7">PKA!#REF!</definedName>
    <definedName name="外部資料_1" localSheetId="8">PKB!#REF!</definedName>
    <definedName name="外部資料_1" localSheetId="9">PKC!#REF!</definedName>
    <definedName name="外部資料_1" localSheetId="2">紅綠燈!#REF!</definedName>
    <definedName name="外部資料_1" localSheetId="3">評比系統!#REF!</definedName>
    <definedName name="外部資料_1" localSheetId="10">福邦!#REF!</definedName>
    <definedName name="外部資料_1" localSheetId="4">篩股系統!#REF!</definedName>
    <definedName name="外部資料_1" localSheetId="11">營收搶先報!#REF!</definedName>
    <definedName name="外部資料_10" localSheetId="7">PKA!#REF!</definedName>
    <definedName name="外部資料_10" localSheetId="8">PKB!#REF!</definedName>
    <definedName name="外部資料_10" localSheetId="9">PKC!#REF!</definedName>
    <definedName name="外部資料_10" localSheetId="13">PSR!#REF!</definedName>
    <definedName name="外部資料_10" localSheetId="2">紅綠燈!#REF!</definedName>
    <definedName name="外部資料_10" localSheetId="3">評比系統!#REF!</definedName>
    <definedName name="外部資料_10" localSheetId="10">福邦!#REF!</definedName>
    <definedName name="外部資料_10" localSheetId="4">篩股系統!#REF!</definedName>
    <definedName name="外部資料_10" localSheetId="11">營收搶先報!#REF!</definedName>
    <definedName name="外部資料_100" localSheetId="7">PKA!#REF!</definedName>
    <definedName name="外部資料_100" localSheetId="8">PKB!#REF!</definedName>
    <definedName name="外部資料_100" localSheetId="9">PKC!#REF!</definedName>
    <definedName name="外部資料_100" localSheetId="13">PSR!#REF!</definedName>
    <definedName name="外部資料_100" localSheetId="2">紅綠燈!#REF!</definedName>
    <definedName name="外部資料_100" localSheetId="3">評比系統!#REF!</definedName>
    <definedName name="外部資料_100" localSheetId="10">福邦!#REF!</definedName>
    <definedName name="外部資料_1000" localSheetId="2">紅綠燈!#REF!</definedName>
    <definedName name="外部資料_1001" localSheetId="2">紅綠燈!#REF!</definedName>
    <definedName name="外部資料_1003" localSheetId="2">紅綠燈!#REF!</definedName>
    <definedName name="外部資料_1004" localSheetId="2">紅綠燈!#REF!</definedName>
    <definedName name="外部資料_1005" localSheetId="2">紅綠燈!#REF!</definedName>
    <definedName name="外部資料_1007" localSheetId="2">紅綠燈!#REF!</definedName>
    <definedName name="外部資料_1008" localSheetId="2">紅綠燈!#REF!</definedName>
    <definedName name="外部資料_1009" localSheetId="2">紅綠燈!#REF!</definedName>
    <definedName name="外部資料_101" localSheetId="7">PKA!#REF!</definedName>
    <definedName name="外部資料_101" localSheetId="8">PKB!#REF!</definedName>
    <definedName name="外部資料_101" localSheetId="9">PKC!#REF!</definedName>
    <definedName name="外部資料_101" localSheetId="13">PSR!#REF!</definedName>
    <definedName name="外部資料_101" localSheetId="2">紅綠燈!#REF!</definedName>
    <definedName name="外部資料_101" localSheetId="10">福邦!#REF!</definedName>
    <definedName name="外部資料_1011" localSheetId="2">紅綠燈!#REF!</definedName>
    <definedName name="外部資料_1012" localSheetId="2">紅綠燈!#REF!</definedName>
    <definedName name="外部資料_1013" localSheetId="2">紅綠燈!#REF!</definedName>
    <definedName name="外部資料_1015" localSheetId="2">紅綠燈!#REF!</definedName>
    <definedName name="外部資料_1016" localSheetId="2">紅綠燈!#REF!</definedName>
    <definedName name="外部資料_1017" localSheetId="2">紅綠燈!#REF!</definedName>
    <definedName name="外部資料_1019" localSheetId="2">紅綠燈!#REF!</definedName>
    <definedName name="外部資料_102" localSheetId="7">PKA!#REF!</definedName>
    <definedName name="外部資料_102" localSheetId="8">PKB!#REF!</definedName>
    <definedName name="外部資料_102" localSheetId="9">PKC!#REF!</definedName>
    <definedName name="外部資料_102" localSheetId="13">PSR!#REF!</definedName>
    <definedName name="外部資料_102" localSheetId="2">紅綠燈!#REF!</definedName>
    <definedName name="外部資料_102" localSheetId="10">福邦!#REF!</definedName>
    <definedName name="外部資料_1020" localSheetId="2">紅綠燈!#REF!</definedName>
    <definedName name="外部資料_1021" localSheetId="2">紅綠燈!#REF!</definedName>
    <definedName name="外部資料_1023" localSheetId="2">紅綠燈!#REF!</definedName>
    <definedName name="外部資料_1024" localSheetId="2">紅綠燈!#REF!</definedName>
    <definedName name="外部資料_1025" localSheetId="2">紅綠燈!#REF!</definedName>
    <definedName name="外部資料_1027" localSheetId="2">紅綠燈!#REF!</definedName>
    <definedName name="外部資料_1028" localSheetId="2">紅綠燈!#REF!</definedName>
    <definedName name="外部資料_1029" localSheetId="2">紅綠燈!#REF!</definedName>
    <definedName name="外部資料_103" localSheetId="7">PKA!#REF!</definedName>
    <definedName name="外部資料_103" localSheetId="8">PKB!#REF!</definedName>
    <definedName name="外部資料_103" localSheetId="9">PKC!#REF!</definedName>
    <definedName name="外部資料_103" localSheetId="13">PSR!#REF!</definedName>
    <definedName name="外部資料_103" localSheetId="2">紅綠燈!#REF!</definedName>
    <definedName name="外部資料_103" localSheetId="10">福邦!#REF!</definedName>
    <definedName name="外部資料_1031" localSheetId="2">紅綠燈!#REF!</definedName>
    <definedName name="外部資料_1032" localSheetId="2">紅綠燈!#REF!</definedName>
    <definedName name="外部資料_1033" localSheetId="2">紅綠燈!#REF!</definedName>
    <definedName name="外部資料_1035" localSheetId="2">紅綠燈!#REF!</definedName>
    <definedName name="外部資料_1036" localSheetId="2">紅綠燈!#REF!</definedName>
    <definedName name="外部資料_1037" localSheetId="2">紅綠燈!#REF!</definedName>
    <definedName name="外部資料_1039" localSheetId="2">紅綠燈!#REF!</definedName>
    <definedName name="外部資料_104" localSheetId="7">PKA!#REF!</definedName>
    <definedName name="外部資料_104" localSheetId="8">PKB!#REF!</definedName>
    <definedName name="外部資料_104" localSheetId="9">PKC!#REF!</definedName>
    <definedName name="外部資料_104" localSheetId="13">PSR!#REF!</definedName>
    <definedName name="外部資料_104" localSheetId="2">紅綠燈!#REF!</definedName>
    <definedName name="外部資料_104" localSheetId="10">福邦!#REF!</definedName>
    <definedName name="外部資料_1040" localSheetId="2">紅綠燈!#REF!</definedName>
    <definedName name="外部資料_1041" localSheetId="2">紅綠燈!#REF!</definedName>
    <definedName name="外部資料_1043" localSheetId="2">紅綠燈!#REF!</definedName>
    <definedName name="外部資料_1044" localSheetId="2">紅綠燈!#REF!</definedName>
    <definedName name="外部資料_1045" localSheetId="2">紅綠燈!#REF!</definedName>
    <definedName name="外部資料_1047" localSheetId="2">紅綠燈!#REF!</definedName>
    <definedName name="外部資料_1048" localSheetId="2">紅綠燈!#REF!</definedName>
    <definedName name="外部資料_1049" localSheetId="2">紅綠燈!#REF!</definedName>
    <definedName name="外部資料_105" localSheetId="7">PKA!#REF!</definedName>
    <definedName name="外部資料_105" localSheetId="8">PKB!#REF!</definedName>
    <definedName name="外部資料_105" localSheetId="9">PKC!#REF!</definedName>
    <definedName name="外部資料_105" localSheetId="13">PSR!#REF!</definedName>
    <definedName name="外部資料_105" localSheetId="2">紅綠燈!#REF!</definedName>
    <definedName name="外部資料_105" localSheetId="10">福邦!#REF!</definedName>
    <definedName name="外部資料_1051" localSheetId="2">紅綠燈!#REF!</definedName>
    <definedName name="外部資料_1052" localSheetId="2">紅綠燈!#REF!</definedName>
    <definedName name="外部資料_1053" localSheetId="2">紅綠燈!#REF!</definedName>
    <definedName name="外部資料_1055" localSheetId="2">紅綠燈!#REF!</definedName>
    <definedName name="外部資料_1056" localSheetId="2">紅綠燈!#REF!</definedName>
    <definedName name="外部資料_1057" localSheetId="2">紅綠燈!#REF!</definedName>
    <definedName name="外部資料_1059" localSheetId="2">紅綠燈!#REF!</definedName>
    <definedName name="外部資料_106" localSheetId="7">PKA!#REF!</definedName>
    <definedName name="外部資料_106" localSheetId="8">PKB!#REF!</definedName>
    <definedName name="外部資料_106" localSheetId="9">PKC!#REF!</definedName>
    <definedName name="外部資料_106" localSheetId="13">PSR!#REF!</definedName>
    <definedName name="外部資料_106" localSheetId="2">紅綠燈!#REF!</definedName>
    <definedName name="外部資料_106" localSheetId="10">福邦!#REF!</definedName>
    <definedName name="外部資料_1060" localSheetId="2">紅綠燈!#REF!</definedName>
    <definedName name="外部資料_1061" localSheetId="2">紅綠燈!#REF!</definedName>
    <definedName name="外部資料_1063" localSheetId="2">紅綠燈!#REF!</definedName>
    <definedName name="外部資料_1064" localSheetId="2">紅綠燈!#REF!</definedName>
    <definedName name="外部資料_1065" localSheetId="2">紅綠燈!#REF!</definedName>
    <definedName name="外部資料_1067" localSheetId="2">紅綠燈!#REF!</definedName>
    <definedName name="外部資料_1068" localSheetId="2">紅綠燈!#REF!</definedName>
    <definedName name="外部資料_1069" localSheetId="2">紅綠燈!#REF!</definedName>
    <definedName name="外部資料_107" localSheetId="7">PKA!#REF!</definedName>
    <definedName name="外部資料_107" localSheetId="8">PKB!#REF!</definedName>
    <definedName name="外部資料_107" localSheetId="9">PKC!#REF!</definedName>
    <definedName name="外部資料_107" localSheetId="13">PSR!#REF!</definedName>
    <definedName name="外部資料_107" localSheetId="10">福邦!#REF!</definedName>
    <definedName name="外部資料_1071" localSheetId="2">紅綠燈!#REF!</definedName>
    <definedName name="外部資料_1072" localSheetId="2">紅綠燈!#REF!</definedName>
    <definedName name="外部資料_1073" localSheetId="2">紅綠燈!#REF!</definedName>
    <definedName name="外部資料_1075" localSheetId="2">紅綠燈!#REF!</definedName>
    <definedName name="外部資料_1076" localSheetId="2">紅綠燈!#REF!</definedName>
    <definedName name="外部資料_1077" localSheetId="2">紅綠燈!#REF!</definedName>
    <definedName name="外部資料_1079" localSheetId="2">紅綠燈!#REF!</definedName>
    <definedName name="外部資料_108" localSheetId="7">PKA!#REF!</definedName>
    <definedName name="外部資料_108" localSheetId="8">PKB!#REF!</definedName>
    <definedName name="外部資料_108" localSheetId="9">PKC!#REF!</definedName>
    <definedName name="外部資料_108" localSheetId="13">PSR!#REF!</definedName>
    <definedName name="外部資料_108" localSheetId="2">紅綠燈!#REF!</definedName>
    <definedName name="外部資料_108" localSheetId="10">福邦!#REF!</definedName>
    <definedName name="外部資料_1080" localSheetId="2">紅綠燈!#REF!</definedName>
    <definedName name="外部資料_1081" localSheetId="2">紅綠燈!#REF!</definedName>
    <definedName name="外部資料_1083" localSheetId="2">紅綠燈!#REF!</definedName>
    <definedName name="外部資料_1084" localSheetId="2">紅綠燈!#REF!</definedName>
    <definedName name="外部資料_1085" localSheetId="2">紅綠燈!#REF!</definedName>
    <definedName name="外部資料_1087" localSheetId="2">紅綠燈!#REF!</definedName>
    <definedName name="外部資料_1088" localSheetId="2">紅綠燈!#REF!</definedName>
    <definedName name="外部資料_1089" localSheetId="2">紅綠燈!#REF!</definedName>
    <definedName name="外部資料_109" localSheetId="7">PKA!#REF!</definedName>
    <definedName name="外部資料_109" localSheetId="8">PKB!#REF!</definedName>
    <definedName name="外部資料_109" localSheetId="9">PKC!#REF!</definedName>
    <definedName name="外部資料_109" localSheetId="13">PSR!#REF!</definedName>
    <definedName name="外部資料_109" localSheetId="2">紅綠燈!#REF!</definedName>
    <definedName name="外部資料_109" localSheetId="10">福邦!#REF!</definedName>
    <definedName name="外部資料_1091" localSheetId="2">紅綠燈!#REF!</definedName>
    <definedName name="外部資料_1092" localSheetId="2">紅綠燈!#REF!</definedName>
    <definedName name="外部資料_1093" localSheetId="2">紅綠燈!#REF!</definedName>
    <definedName name="外部資料_1095" localSheetId="2">紅綠燈!#REF!</definedName>
    <definedName name="外部資料_1096" localSheetId="2">紅綠燈!#REF!</definedName>
    <definedName name="外部資料_1097" localSheetId="2">紅綠燈!#REF!</definedName>
    <definedName name="外部資料_1099" localSheetId="2">紅綠燈!#REF!</definedName>
    <definedName name="外部資料_11" localSheetId="7">PKA!#REF!</definedName>
    <definedName name="外部資料_11" localSheetId="8">PKB!#REF!</definedName>
    <definedName name="外部資料_11" localSheetId="9">PKC!#REF!</definedName>
    <definedName name="外部資料_11" localSheetId="13">PSR!#REF!</definedName>
    <definedName name="外部資料_11" localSheetId="2">紅綠燈!#REF!</definedName>
    <definedName name="外部資料_11" localSheetId="3">評比系統!#REF!</definedName>
    <definedName name="外部資料_11" localSheetId="10">福邦!#REF!</definedName>
    <definedName name="外部資料_11" localSheetId="4">篩股系統!#REF!</definedName>
    <definedName name="外部資料_11" localSheetId="11">營收搶先報!#REF!</definedName>
    <definedName name="外部資料_110" localSheetId="7">PKA!#REF!</definedName>
    <definedName name="外部資料_110" localSheetId="8">PKB!#REF!</definedName>
    <definedName name="外部資料_110" localSheetId="9">PKC!#REF!</definedName>
    <definedName name="外部資料_110" localSheetId="13">PSR!#REF!</definedName>
    <definedName name="外部資料_110" localSheetId="2">紅綠燈!#REF!</definedName>
    <definedName name="外部資料_110" localSheetId="10">福邦!#REF!</definedName>
    <definedName name="外部資料_1100" localSheetId="2">紅綠燈!#REF!</definedName>
    <definedName name="外部資料_1101" localSheetId="2">紅綠燈!#REF!</definedName>
    <definedName name="外部資料_1103" localSheetId="2">紅綠燈!#REF!</definedName>
    <definedName name="外部資料_1104" localSheetId="2">紅綠燈!#REF!</definedName>
    <definedName name="外部資料_1105" localSheetId="2">紅綠燈!#REF!</definedName>
    <definedName name="外部資料_1107" localSheetId="2">紅綠燈!#REF!</definedName>
    <definedName name="外部資料_1108" localSheetId="2">紅綠燈!#REF!</definedName>
    <definedName name="外部資料_1109" localSheetId="2">紅綠燈!#REF!</definedName>
    <definedName name="外部資料_111" localSheetId="7">PKA!#REF!</definedName>
    <definedName name="外部資料_111" localSheetId="8">PKB!#REF!</definedName>
    <definedName name="外部資料_111" localSheetId="9">PKC!#REF!</definedName>
    <definedName name="外部資料_111" localSheetId="13">PSR!#REF!</definedName>
    <definedName name="外部資料_111" localSheetId="10">福邦!#REF!</definedName>
    <definedName name="外部資料_1111" localSheetId="2">紅綠燈!#REF!</definedName>
    <definedName name="外部資料_1112" localSheetId="2">紅綠燈!#REF!</definedName>
    <definedName name="外部資料_1113" localSheetId="2">紅綠燈!#REF!</definedName>
    <definedName name="外部資料_1115" localSheetId="2">紅綠燈!#REF!</definedName>
    <definedName name="外部資料_1116" localSheetId="2">紅綠燈!#REF!</definedName>
    <definedName name="外部資料_1117" localSheetId="2">紅綠燈!#REF!</definedName>
    <definedName name="外部資料_1119" localSheetId="2">紅綠燈!#REF!</definedName>
    <definedName name="外部資料_112" localSheetId="7">PKA!#REF!</definedName>
    <definedName name="外部資料_112" localSheetId="8">PKB!#REF!</definedName>
    <definedName name="外部資料_112" localSheetId="9">PKC!#REF!</definedName>
    <definedName name="外部資料_112" localSheetId="13">PSR!#REF!</definedName>
    <definedName name="外部資料_112" localSheetId="2">紅綠燈!#REF!</definedName>
    <definedName name="外部資料_112" localSheetId="10">福邦!#REF!</definedName>
    <definedName name="外部資料_1120" localSheetId="2">紅綠燈!#REF!</definedName>
    <definedName name="外部資料_1121" localSheetId="2">紅綠燈!#REF!</definedName>
    <definedName name="外部資料_1123" localSheetId="2">紅綠燈!#REF!</definedName>
    <definedName name="外部資料_1124" localSheetId="2">紅綠燈!#REF!</definedName>
    <definedName name="外部資料_1125" localSheetId="2">紅綠燈!#REF!</definedName>
    <definedName name="外部資料_1127" localSheetId="2">紅綠燈!#REF!</definedName>
    <definedName name="外部資料_1128" localSheetId="2">紅綠燈!#REF!</definedName>
    <definedName name="外部資料_1129" localSheetId="2">紅綠燈!#REF!</definedName>
    <definedName name="外部資料_113" localSheetId="7">PKA!#REF!</definedName>
    <definedName name="外部資料_113" localSheetId="8">PKB!#REF!</definedName>
    <definedName name="外部資料_113" localSheetId="9">PKC!#REF!</definedName>
    <definedName name="外部資料_113" localSheetId="13">PSR!#REF!</definedName>
    <definedName name="外部資料_113" localSheetId="2">紅綠燈!#REF!</definedName>
    <definedName name="外部資料_113" localSheetId="10">福邦!#REF!</definedName>
    <definedName name="外部資料_1131" localSheetId="2">紅綠燈!#REF!</definedName>
    <definedName name="外部資料_1132" localSheetId="2">紅綠燈!#REF!</definedName>
    <definedName name="外部資料_1134" localSheetId="2">紅綠燈!#REF!</definedName>
    <definedName name="外部資料_1135" localSheetId="2">紅綠燈!#REF!</definedName>
    <definedName name="外部資料_1136" localSheetId="2">紅綠燈!#REF!</definedName>
    <definedName name="外部資料_1138" localSheetId="2">紅綠燈!#REF!</definedName>
    <definedName name="外部資料_1139" localSheetId="2">紅綠燈!#REF!</definedName>
    <definedName name="外部資料_114" localSheetId="7">PKA!#REF!</definedName>
    <definedName name="外部資料_114" localSheetId="8">PKB!#REF!</definedName>
    <definedName name="外部資料_114" localSheetId="9">PKC!#REF!</definedName>
    <definedName name="外部資料_114" localSheetId="13">PSR!#REF!</definedName>
    <definedName name="外部資料_114" localSheetId="2">紅綠燈!#REF!</definedName>
    <definedName name="外部資料_114" localSheetId="10">福邦!#REF!</definedName>
    <definedName name="外部資料_1140" localSheetId="2">紅綠燈!#REF!</definedName>
    <definedName name="外部資料_1142" localSheetId="2">紅綠燈!#REF!</definedName>
    <definedName name="外部資料_1143" localSheetId="2">紅綠燈!#REF!</definedName>
    <definedName name="外部資料_1144" localSheetId="2">紅綠燈!#REF!</definedName>
    <definedName name="外部資料_1146" localSheetId="2">紅綠燈!#REF!</definedName>
    <definedName name="外部資料_1147" localSheetId="2">紅綠燈!#REF!</definedName>
    <definedName name="外部資料_1148" localSheetId="2">紅綠燈!#REF!</definedName>
    <definedName name="外部資料_115" localSheetId="7">PKA!#REF!</definedName>
    <definedName name="外部資料_115" localSheetId="8">PKB!#REF!</definedName>
    <definedName name="外部資料_115" localSheetId="9">PKC!#REF!</definedName>
    <definedName name="外部資料_115" localSheetId="13">PSR!#REF!</definedName>
    <definedName name="外部資料_115" localSheetId="10">福邦!#REF!</definedName>
    <definedName name="外部資料_1150" localSheetId="2">紅綠燈!#REF!</definedName>
    <definedName name="外部資料_1151" localSheetId="2">紅綠燈!#REF!</definedName>
    <definedName name="外部資料_1152" localSheetId="2">紅綠燈!#REF!</definedName>
    <definedName name="外部資料_1154" localSheetId="2">紅綠燈!#REF!</definedName>
    <definedName name="外部資料_1155" localSheetId="2">紅綠燈!#REF!</definedName>
    <definedName name="外部資料_1156" localSheetId="2">紅綠燈!#REF!</definedName>
    <definedName name="外部資料_1158" localSheetId="2">紅綠燈!#REF!</definedName>
    <definedName name="外部資料_1159" localSheetId="2">紅綠燈!#REF!</definedName>
    <definedName name="外部資料_116" localSheetId="7">PKA!#REF!</definedName>
    <definedName name="外部資料_116" localSheetId="8">PKB!#REF!</definedName>
    <definedName name="外部資料_116" localSheetId="9">PKC!#REF!</definedName>
    <definedName name="外部資料_116" localSheetId="13">PSR!#REF!</definedName>
    <definedName name="外部資料_116" localSheetId="2">紅綠燈!#REF!</definedName>
    <definedName name="外部資料_116" localSheetId="10">福邦!#REF!</definedName>
    <definedName name="外部資料_1160" localSheetId="2">紅綠燈!#REF!</definedName>
    <definedName name="外部資料_1162" localSheetId="2">紅綠燈!#REF!</definedName>
    <definedName name="外部資料_1163" localSheetId="2">紅綠燈!#REF!</definedName>
    <definedName name="外部資料_1164" localSheetId="2">紅綠燈!#REF!</definedName>
    <definedName name="外部資料_1166" localSheetId="2">紅綠燈!#REF!</definedName>
    <definedName name="外部資料_1167" localSheetId="2">紅綠燈!#REF!</definedName>
    <definedName name="外部資料_1168" localSheetId="2">紅綠燈!#REF!</definedName>
    <definedName name="外部資料_117" localSheetId="7">PKA!#REF!</definedName>
    <definedName name="外部資料_117" localSheetId="8">PKB!#REF!</definedName>
    <definedName name="外部資料_117" localSheetId="9">PKC!#REF!</definedName>
    <definedName name="外部資料_117" localSheetId="13">PSR!#REF!</definedName>
    <definedName name="外部資料_117" localSheetId="2">紅綠燈!#REF!</definedName>
    <definedName name="外部資料_117" localSheetId="10">福邦!#REF!</definedName>
    <definedName name="外部資料_1170" localSheetId="2">紅綠燈!#REF!</definedName>
    <definedName name="外部資料_1171" localSheetId="2">紅綠燈!#REF!</definedName>
    <definedName name="外部資料_1172" localSheetId="2">紅綠燈!#REF!</definedName>
    <definedName name="外部資料_1174" localSheetId="2">紅綠燈!#REF!</definedName>
    <definedName name="外部資料_1175" localSheetId="2">紅綠燈!#REF!</definedName>
    <definedName name="外部資料_1176" localSheetId="2">紅綠燈!#REF!</definedName>
    <definedName name="外部資料_1178" localSheetId="2">紅綠燈!#REF!</definedName>
    <definedName name="外部資料_1179" localSheetId="2">紅綠燈!#REF!</definedName>
    <definedName name="外部資料_118" localSheetId="7">PKA!#REF!</definedName>
    <definedName name="外部資料_118" localSheetId="8">PKB!#REF!</definedName>
    <definedName name="外部資料_118" localSheetId="9">PKC!#REF!</definedName>
    <definedName name="外部資料_118" localSheetId="13">PSR!#REF!</definedName>
    <definedName name="外部資料_118" localSheetId="2">紅綠燈!#REF!</definedName>
    <definedName name="外部資料_118" localSheetId="10">福邦!#REF!</definedName>
    <definedName name="外部資料_1180" localSheetId="2">紅綠燈!#REF!</definedName>
    <definedName name="外部資料_1182" localSheetId="2">紅綠燈!#REF!</definedName>
    <definedName name="外部資料_1183" localSheetId="2">紅綠燈!#REF!</definedName>
    <definedName name="外部資料_1184" localSheetId="2">紅綠燈!#REF!</definedName>
    <definedName name="外部資料_1186" localSheetId="2">紅綠燈!#REF!</definedName>
    <definedName name="外部資料_1187" localSheetId="2">紅綠燈!#REF!</definedName>
    <definedName name="外部資料_1188" localSheetId="2">紅綠燈!#REF!</definedName>
    <definedName name="外部資料_119" localSheetId="7">PKA!#REF!</definedName>
    <definedName name="外部資料_119" localSheetId="8">PKB!#REF!</definedName>
    <definedName name="外部資料_119" localSheetId="9">PKC!#REF!</definedName>
    <definedName name="外部資料_119" localSheetId="13">PSR!#REF!</definedName>
    <definedName name="外部資料_119" localSheetId="2">紅綠燈!#REF!</definedName>
    <definedName name="外部資料_119" localSheetId="10">福邦!#REF!</definedName>
    <definedName name="外部資料_119" localSheetId="4">篩股系統!$C$3:$S$56</definedName>
    <definedName name="外部資料_1190" localSheetId="2">紅綠燈!#REF!</definedName>
    <definedName name="外部資料_1191" localSheetId="2">紅綠燈!#REF!</definedName>
    <definedName name="外部資料_1192" localSheetId="2">紅綠燈!#REF!</definedName>
    <definedName name="外部資料_1194" localSheetId="2">紅綠燈!#REF!</definedName>
    <definedName name="外部資料_1195" localSheetId="2">紅綠燈!#REF!</definedName>
    <definedName name="外部資料_1196" localSheetId="2">紅綠燈!#REF!</definedName>
    <definedName name="外部資料_1198" localSheetId="2">紅綠燈!#REF!</definedName>
    <definedName name="外部資料_1199" localSheetId="2">紅綠燈!#REF!</definedName>
    <definedName name="外部資料_12" localSheetId="7">PKA!#REF!</definedName>
    <definedName name="外部資料_12" localSheetId="8">PKB!#REF!</definedName>
    <definedName name="外部資料_12" localSheetId="9">PKC!#REF!</definedName>
    <definedName name="外部資料_12" localSheetId="13">PSR!#REF!</definedName>
    <definedName name="外部資料_12" localSheetId="2">紅綠燈!#REF!</definedName>
    <definedName name="外部資料_12" localSheetId="3">評比系統!#REF!</definedName>
    <definedName name="外部資料_12" localSheetId="10">福邦!#REF!</definedName>
    <definedName name="外部資料_12" localSheetId="4">篩股系統!#REF!</definedName>
    <definedName name="外部資料_12" localSheetId="11">營收搶先報!#REF!</definedName>
    <definedName name="外部資料_120" localSheetId="7">PKA!#REF!</definedName>
    <definedName name="外部資料_120" localSheetId="8">PKB!#REF!</definedName>
    <definedName name="外部資料_120" localSheetId="9">PKC!#REF!</definedName>
    <definedName name="外部資料_120" localSheetId="13">PSR!#REF!</definedName>
    <definedName name="外部資料_120" localSheetId="2">紅綠燈!#REF!</definedName>
    <definedName name="外部資料_120" localSheetId="10">福邦!#REF!</definedName>
    <definedName name="外部資料_1200" localSheetId="2">紅綠燈!#REF!</definedName>
    <definedName name="外部資料_1202" localSheetId="2">紅綠燈!#REF!</definedName>
    <definedName name="外部資料_1203" localSheetId="2">紅綠燈!#REF!</definedName>
    <definedName name="外部資料_1204" localSheetId="2">紅綠燈!#REF!</definedName>
    <definedName name="外部資料_1206" localSheetId="2">紅綠燈!#REF!</definedName>
    <definedName name="外部資料_1207" localSheetId="2">紅綠燈!#REF!</definedName>
    <definedName name="外部資料_1209" localSheetId="2">紅綠燈!#REF!</definedName>
    <definedName name="外部資料_121" localSheetId="7">PKA!#REF!</definedName>
    <definedName name="外部資料_121" localSheetId="8">PKB!#REF!</definedName>
    <definedName name="外部資料_121" localSheetId="9">PKC!#REF!</definedName>
    <definedName name="外部資料_121" localSheetId="13">PSR!#REF!</definedName>
    <definedName name="外部資料_121" localSheetId="2">紅綠燈!#REF!</definedName>
    <definedName name="外部資料_121" localSheetId="10">福邦!#REF!</definedName>
    <definedName name="外部資料_1210" localSheetId="2">紅綠燈!#REF!</definedName>
    <definedName name="外部資料_1211" localSheetId="2">紅綠燈!#REF!</definedName>
    <definedName name="外部資料_1213" localSheetId="2">紅綠燈!#REF!</definedName>
    <definedName name="外部資料_1214" localSheetId="2">紅綠燈!#REF!</definedName>
    <definedName name="外部資料_1215" localSheetId="2">紅綠燈!#REF!</definedName>
    <definedName name="外部資料_1217" localSheetId="2">紅綠燈!#REF!</definedName>
    <definedName name="外部資料_1218" localSheetId="2">紅綠燈!#REF!</definedName>
    <definedName name="外部資料_1219" localSheetId="2">紅綠燈!#REF!</definedName>
    <definedName name="外部資料_122" localSheetId="7">PKA!#REF!</definedName>
    <definedName name="外部資料_122" localSheetId="8">PKB!#REF!</definedName>
    <definedName name="外部資料_122" localSheetId="9">PKC!#REF!</definedName>
    <definedName name="外部資料_122" localSheetId="13">PSR!#REF!</definedName>
    <definedName name="外部資料_122" localSheetId="2">紅綠燈!#REF!</definedName>
    <definedName name="外部資料_122" localSheetId="10">福邦!#REF!</definedName>
    <definedName name="外部資料_1221" localSheetId="2">紅綠燈!#REF!</definedName>
    <definedName name="外部資料_1222" localSheetId="2">紅綠燈!#REF!</definedName>
    <definedName name="外部資料_1223" localSheetId="2">紅綠燈!#REF!</definedName>
    <definedName name="外部資料_1225" localSheetId="2">紅綠燈!#REF!</definedName>
    <definedName name="外部資料_1226" localSheetId="2">紅綠燈!#REF!</definedName>
    <definedName name="外部資料_1227" localSheetId="2">紅綠燈!#REF!</definedName>
    <definedName name="外部資料_1229" localSheetId="2">紅綠燈!#REF!</definedName>
    <definedName name="外部資料_123" localSheetId="7">PKA!#REF!</definedName>
    <definedName name="外部資料_123" localSheetId="8">PKB!#REF!</definedName>
    <definedName name="外部資料_123" localSheetId="9">PKC!#REF!</definedName>
    <definedName name="外部資料_123" localSheetId="13">PSR!#REF!</definedName>
    <definedName name="外部資料_123" localSheetId="2">紅綠燈!#REF!</definedName>
    <definedName name="外部資料_123" localSheetId="10">福邦!#REF!</definedName>
    <definedName name="外部資料_1230" localSheetId="2">紅綠燈!#REF!</definedName>
    <definedName name="外部資料_1231" localSheetId="2">紅綠燈!#REF!</definedName>
    <definedName name="外部資料_1233" localSheetId="2">紅綠燈!#REF!</definedName>
    <definedName name="外部資料_1234" localSheetId="2">紅綠燈!#REF!</definedName>
    <definedName name="外部資料_1235" localSheetId="2">紅綠燈!#REF!</definedName>
    <definedName name="外部資料_1237" localSheetId="2">紅綠燈!#REF!</definedName>
    <definedName name="外部資料_1238" localSheetId="2">紅綠燈!#REF!</definedName>
    <definedName name="外部資料_1239" localSheetId="2">紅綠燈!#REF!</definedName>
    <definedName name="外部資料_124" localSheetId="7">PKA!#REF!</definedName>
    <definedName name="外部資料_124" localSheetId="8">PKB!#REF!</definedName>
    <definedName name="外部資料_124" localSheetId="9">PKC!#REF!</definedName>
    <definedName name="外部資料_124" localSheetId="13">PSR!#REF!</definedName>
    <definedName name="外部資料_124" localSheetId="2">紅綠燈!#REF!</definedName>
    <definedName name="外部資料_124" localSheetId="10">福邦!#REF!</definedName>
    <definedName name="外部資料_1241" localSheetId="2">紅綠燈!#REF!</definedName>
    <definedName name="外部資料_1242" localSheetId="2">紅綠燈!#REF!</definedName>
    <definedName name="外部資料_1243" localSheetId="2">紅綠燈!#REF!</definedName>
    <definedName name="外部資料_1245" localSheetId="2">紅綠燈!#REF!</definedName>
    <definedName name="外部資料_1246" localSheetId="2">紅綠燈!#REF!</definedName>
    <definedName name="外部資料_1247" localSheetId="2">紅綠燈!#REF!</definedName>
    <definedName name="外部資料_1249" localSheetId="2">紅綠燈!#REF!</definedName>
    <definedName name="外部資料_125" localSheetId="7">PKA!#REF!</definedName>
    <definedName name="外部資料_125" localSheetId="8">PKB!#REF!</definedName>
    <definedName name="外部資料_125" localSheetId="9">PKC!#REF!</definedName>
    <definedName name="外部資料_125" localSheetId="13">PSR!#REF!</definedName>
    <definedName name="外部資料_125" localSheetId="10">福邦!#REF!</definedName>
    <definedName name="外部資料_1250" localSheetId="2">紅綠燈!#REF!</definedName>
    <definedName name="外部資料_1251" localSheetId="2">紅綠燈!#REF!</definedName>
    <definedName name="外部資料_1253" localSheetId="2">紅綠燈!#REF!</definedName>
    <definedName name="外部資料_1254" localSheetId="2">紅綠燈!#REF!</definedName>
    <definedName name="外部資料_1255" localSheetId="2">紅綠燈!#REF!</definedName>
    <definedName name="外部資料_1257" localSheetId="2">紅綠燈!#REF!</definedName>
    <definedName name="外部資料_1258" localSheetId="2">紅綠燈!#REF!</definedName>
    <definedName name="外部資料_1259" localSheetId="2">紅綠燈!#REF!</definedName>
    <definedName name="外部資料_126" localSheetId="7">PKA!#REF!</definedName>
    <definedName name="外部資料_126" localSheetId="8">PKB!#REF!</definedName>
    <definedName name="外部資料_126" localSheetId="9">PKC!#REF!</definedName>
    <definedName name="外部資料_126" localSheetId="13">PSR!#REF!</definedName>
    <definedName name="外部資料_126" localSheetId="2">紅綠燈!#REF!</definedName>
    <definedName name="外部資料_126" localSheetId="10">福邦!#REF!</definedName>
    <definedName name="外部資料_1261" localSheetId="2">紅綠燈!#REF!</definedName>
    <definedName name="外部資料_1262" localSheetId="2">紅綠燈!#REF!</definedName>
    <definedName name="外部資料_1263" localSheetId="2">紅綠燈!#REF!</definedName>
    <definedName name="外部資料_1265" localSheetId="2">紅綠燈!#REF!</definedName>
    <definedName name="外部資料_1266" localSheetId="2">紅綠燈!#REF!</definedName>
    <definedName name="外部資料_1267" localSheetId="2">紅綠燈!#REF!</definedName>
    <definedName name="外部資料_1269" localSheetId="2">紅綠燈!#REF!</definedName>
    <definedName name="外部資料_127" localSheetId="7">PKA!#REF!</definedName>
    <definedName name="外部資料_127" localSheetId="8">PKB!#REF!</definedName>
    <definedName name="外部資料_127" localSheetId="9">PKC!#REF!</definedName>
    <definedName name="外部資料_127" localSheetId="13">PSR!#REF!</definedName>
    <definedName name="外部資料_127" localSheetId="2">紅綠燈!#REF!</definedName>
    <definedName name="外部資料_127" localSheetId="10">福邦!#REF!</definedName>
    <definedName name="外部資料_1270" localSheetId="2">紅綠燈!#REF!</definedName>
    <definedName name="外部資料_1271" localSheetId="2">紅綠燈!#REF!</definedName>
    <definedName name="外部資料_1273" localSheetId="2">紅綠燈!#REF!</definedName>
    <definedName name="外部資料_1274" localSheetId="2">紅綠燈!#REF!</definedName>
    <definedName name="外部資料_1275" localSheetId="2">紅綠燈!#REF!</definedName>
    <definedName name="外部資料_1277" localSheetId="2">紅綠燈!#REF!</definedName>
    <definedName name="外部資料_1278" localSheetId="2">紅綠燈!#REF!</definedName>
    <definedName name="外部資料_1279" localSheetId="2">紅綠燈!#REF!</definedName>
    <definedName name="外部資料_128" localSheetId="7">PKA!#REF!</definedName>
    <definedName name="外部資料_128" localSheetId="8">PKB!#REF!</definedName>
    <definedName name="外部資料_128" localSheetId="9">PKC!#REF!</definedName>
    <definedName name="外部資料_128" localSheetId="13">PSR!#REF!</definedName>
    <definedName name="外部資料_128" localSheetId="2">紅綠燈!#REF!</definedName>
    <definedName name="外部資料_128" localSheetId="10">福邦!#REF!</definedName>
    <definedName name="外部資料_1281" localSheetId="2">紅綠燈!#REF!</definedName>
    <definedName name="外部資料_1282" localSheetId="2">紅綠燈!#REF!</definedName>
    <definedName name="外部資料_1283" localSheetId="2">紅綠燈!#REF!</definedName>
    <definedName name="外部資料_1285" localSheetId="2">紅綠燈!#REF!</definedName>
    <definedName name="外部資料_1286" localSheetId="2">紅綠燈!#REF!</definedName>
    <definedName name="外部資料_1287" localSheetId="2">紅綠燈!#REF!</definedName>
    <definedName name="外部資料_1289" localSheetId="2">紅綠燈!#REF!</definedName>
    <definedName name="外部資料_129" localSheetId="7">PKA!#REF!</definedName>
    <definedName name="外部資料_129" localSheetId="8">PKB!#REF!</definedName>
    <definedName name="外部資料_129" localSheetId="9">PKC!#REF!</definedName>
    <definedName name="外部資料_129" localSheetId="13">PSR!#REF!</definedName>
    <definedName name="外部資料_129" localSheetId="2">紅綠燈!#REF!</definedName>
    <definedName name="外部資料_129" localSheetId="10">福邦!#REF!</definedName>
    <definedName name="外部資料_1290" localSheetId="2">紅綠燈!#REF!</definedName>
    <definedName name="外部資料_1291" localSheetId="2">紅綠燈!#REF!</definedName>
    <definedName name="外部資料_1293" localSheetId="2">紅綠燈!#REF!</definedName>
    <definedName name="外部資料_1294" localSheetId="2">紅綠燈!#REF!</definedName>
    <definedName name="外部資料_1295" localSheetId="2">紅綠燈!#REF!</definedName>
    <definedName name="外部資料_1297" localSheetId="2">紅綠燈!#REF!</definedName>
    <definedName name="外部資料_1298" localSheetId="2">紅綠燈!#REF!</definedName>
    <definedName name="外部資料_1299" localSheetId="2">紅綠燈!#REF!</definedName>
    <definedName name="外部資料_13" localSheetId="7">PKA!#REF!</definedName>
    <definedName name="外部資料_13" localSheetId="8">PKB!#REF!</definedName>
    <definedName name="外部資料_13" localSheetId="9">PKC!#REF!</definedName>
    <definedName name="外部資料_13" localSheetId="13">PSR!#REF!</definedName>
    <definedName name="外部資料_13" localSheetId="2">紅綠燈!#REF!</definedName>
    <definedName name="外部資料_13" localSheetId="3">評比系統!#REF!</definedName>
    <definedName name="外部資料_13" localSheetId="10">福邦!#REF!</definedName>
    <definedName name="外部資料_13" localSheetId="4">篩股系統!#REF!</definedName>
    <definedName name="外部資料_13" localSheetId="11">營收搶先報!#REF!</definedName>
    <definedName name="外部資料_130" localSheetId="7">PKA!#REF!</definedName>
    <definedName name="外部資料_130" localSheetId="8">PKB!#REF!</definedName>
    <definedName name="外部資料_130" localSheetId="9">PKC!#REF!</definedName>
    <definedName name="外部資料_130" localSheetId="13">PSR!#REF!</definedName>
    <definedName name="外部資料_130" localSheetId="2">紅綠燈!#REF!</definedName>
    <definedName name="外部資料_130" localSheetId="10">福邦!#REF!</definedName>
    <definedName name="外部資料_1301" localSheetId="2">紅綠燈!#REF!</definedName>
    <definedName name="外部資料_1302" localSheetId="2">紅綠燈!#REF!</definedName>
    <definedName name="外部資料_1303" localSheetId="2">紅綠燈!#REF!</definedName>
    <definedName name="外部資料_1305" localSheetId="2">紅綠燈!#REF!</definedName>
    <definedName name="外部資料_1306" localSheetId="2">紅綠燈!#REF!</definedName>
    <definedName name="外部資料_1307" localSheetId="2">紅綠燈!#REF!</definedName>
    <definedName name="外部資料_1309" localSheetId="2">紅綠燈!#REF!</definedName>
    <definedName name="外部資料_131" localSheetId="7">PKA!#REF!</definedName>
    <definedName name="外部資料_131" localSheetId="8">PKB!#REF!</definedName>
    <definedName name="外部資料_131" localSheetId="9">PKC!#REF!</definedName>
    <definedName name="外部資料_131" localSheetId="13">PSR!#REF!</definedName>
    <definedName name="外部資料_131" localSheetId="2">紅綠燈!#REF!</definedName>
    <definedName name="外部資料_131" localSheetId="10">福邦!#REF!</definedName>
    <definedName name="外部資料_1310" localSheetId="2">紅綠燈!#REF!</definedName>
    <definedName name="外部資料_1311" localSheetId="2">紅綠燈!#REF!</definedName>
    <definedName name="外部資料_1313" localSheetId="2">紅綠燈!#REF!</definedName>
    <definedName name="外部資料_1314" localSheetId="2">紅綠燈!#REF!</definedName>
    <definedName name="外部資料_1315" localSheetId="2">紅綠燈!#REF!</definedName>
    <definedName name="外部資料_1317" localSheetId="2">紅綠燈!#REF!</definedName>
    <definedName name="外部資料_1318" localSheetId="2">紅綠燈!#REF!</definedName>
    <definedName name="外部資料_1319" localSheetId="2">紅綠燈!#REF!</definedName>
    <definedName name="外部資料_132" localSheetId="7">PKA!#REF!</definedName>
    <definedName name="外部資料_132" localSheetId="8">PKB!#REF!</definedName>
    <definedName name="外部資料_132" localSheetId="9">PKC!#REF!</definedName>
    <definedName name="外部資料_132" localSheetId="13">PSR!#REF!</definedName>
    <definedName name="外部資料_132" localSheetId="2">紅綠燈!#REF!</definedName>
    <definedName name="外部資料_132" localSheetId="10">福邦!#REF!</definedName>
    <definedName name="外部資料_1321" localSheetId="2">紅綠燈!#REF!</definedName>
    <definedName name="外部資料_1322" localSheetId="2">紅綠燈!#REF!</definedName>
    <definedName name="外部資料_1323" localSheetId="2">紅綠燈!#REF!</definedName>
    <definedName name="外部資料_1325" localSheetId="2">紅綠燈!#REF!</definedName>
    <definedName name="外部資料_1326" localSheetId="2">紅綠燈!#REF!</definedName>
    <definedName name="外部資料_1327" localSheetId="2">紅綠燈!#REF!</definedName>
    <definedName name="外部資料_1329" localSheetId="2">紅綠燈!#REF!</definedName>
    <definedName name="外部資料_133" localSheetId="7">PKA!#REF!</definedName>
    <definedName name="外部資料_133" localSheetId="8">PKB!#REF!</definedName>
    <definedName name="外部資料_133" localSheetId="9">PKC!#REF!</definedName>
    <definedName name="外部資料_133" localSheetId="13">PSR!#REF!</definedName>
    <definedName name="外部資料_133" localSheetId="10">福邦!#REF!</definedName>
    <definedName name="外部資料_1330" localSheetId="2">紅綠燈!#REF!</definedName>
    <definedName name="外部資料_1332" localSheetId="2">紅綠燈!#REF!</definedName>
    <definedName name="外部資料_1333" localSheetId="2">紅綠燈!#REF!</definedName>
    <definedName name="外部資料_1334" localSheetId="2">紅綠燈!#REF!</definedName>
    <definedName name="外部資料_1336" localSheetId="2">紅綠燈!#REF!</definedName>
    <definedName name="外部資料_1337" localSheetId="2">紅綠燈!#REF!</definedName>
    <definedName name="外部資料_1338" localSheetId="2">紅綠燈!#REF!</definedName>
    <definedName name="外部資料_134" localSheetId="7">PKA!#REF!</definedName>
    <definedName name="外部資料_134" localSheetId="8">PKB!#REF!</definedName>
    <definedName name="外部資料_134" localSheetId="9">PKC!#REF!</definedName>
    <definedName name="外部資料_134" localSheetId="13">PSR!#REF!</definedName>
    <definedName name="外部資料_134" localSheetId="2">紅綠燈!#REF!</definedName>
    <definedName name="外部資料_134" localSheetId="10">福邦!#REF!</definedName>
    <definedName name="外部資料_1340" localSheetId="2">紅綠燈!#REF!</definedName>
    <definedName name="外部資料_1341" localSheetId="2">紅綠燈!#REF!</definedName>
    <definedName name="外部資料_1342" localSheetId="2">紅綠燈!#REF!</definedName>
    <definedName name="外部資料_1344" localSheetId="2">紅綠燈!#REF!</definedName>
    <definedName name="外部資料_1345" localSheetId="2">紅綠燈!#REF!</definedName>
    <definedName name="外部資料_1346" localSheetId="2">紅綠燈!#REF!</definedName>
    <definedName name="外部資料_1348" localSheetId="2">紅綠燈!#REF!</definedName>
    <definedName name="外部資料_1349" localSheetId="2">紅綠燈!#REF!</definedName>
    <definedName name="外部資料_135" localSheetId="7">PKA!#REF!</definedName>
    <definedName name="外部資料_135" localSheetId="8">PKB!#REF!</definedName>
    <definedName name="外部資料_135" localSheetId="9">PKC!#REF!</definedName>
    <definedName name="外部資料_135" localSheetId="13">PSR!#REF!</definedName>
    <definedName name="外部資料_135" localSheetId="2">紅綠燈!#REF!</definedName>
    <definedName name="外部資料_135" localSheetId="10">福邦!#REF!</definedName>
    <definedName name="外部資料_1350" localSheetId="2">紅綠燈!#REF!</definedName>
    <definedName name="外部資料_1352" localSheetId="2">紅綠燈!#REF!</definedName>
    <definedName name="外部資料_1353" localSheetId="2">紅綠燈!#REF!</definedName>
    <definedName name="外部資料_1354" localSheetId="2">紅綠燈!#REF!</definedName>
    <definedName name="外部資料_1356" localSheetId="2">紅綠燈!#REF!</definedName>
    <definedName name="外部資料_1357" localSheetId="2">紅綠燈!#REF!</definedName>
    <definedName name="外部資料_1358" localSheetId="2">紅綠燈!#REF!</definedName>
    <definedName name="外部資料_136" localSheetId="7">PKA!#REF!</definedName>
    <definedName name="外部資料_136" localSheetId="8">PKB!#REF!</definedName>
    <definedName name="外部資料_136" localSheetId="9">PKC!#REF!</definedName>
    <definedName name="外部資料_136" localSheetId="13">PSR!#REF!</definedName>
    <definedName name="外部資料_136" localSheetId="2">紅綠燈!#REF!</definedName>
    <definedName name="外部資料_136" localSheetId="10">福邦!#REF!</definedName>
    <definedName name="外部資料_1360" localSheetId="2">紅綠燈!#REF!</definedName>
    <definedName name="外部資料_1361" localSheetId="2">紅綠燈!#REF!</definedName>
    <definedName name="外部資料_1362" localSheetId="2">紅綠燈!#REF!</definedName>
    <definedName name="外部資料_1364" localSheetId="2">紅綠燈!#REF!</definedName>
    <definedName name="外部資料_1365" localSheetId="2">紅綠燈!#REF!</definedName>
    <definedName name="外部資料_1366" localSheetId="2">紅綠燈!#REF!</definedName>
    <definedName name="外部資料_1368" localSheetId="2">紅綠燈!#REF!</definedName>
    <definedName name="外部資料_1369" localSheetId="2">紅綠燈!#REF!</definedName>
    <definedName name="外部資料_137" localSheetId="7">PKA!#REF!</definedName>
    <definedName name="外部資料_137" localSheetId="8">PKB!#REF!</definedName>
    <definedName name="外部資料_137" localSheetId="9">PKC!#REF!</definedName>
    <definedName name="外部資料_137" localSheetId="13">PSR!#REF!</definedName>
    <definedName name="外部資料_137" localSheetId="10">福邦!#REF!</definedName>
    <definedName name="外部資料_1371" localSheetId="2">紅綠燈!#REF!</definedName>
    <definedName name="外部資料_1372" localSheetId="2">紅綠燈!#REF!</definedName>
    <definedName name="外部資料_1373" localSheetId="2">紅綠燈!#REF!</definedName>
    <definedName name="外部資料_1375" localSheetId="2">紅綠燈!#REF!</definedName>
    <definedName name="外部資料_1376" localSheetId="2">紅綠燈!#REF!</definedName>
    <definedName name="外部資料_1378" localSheetId="2">紅綠燈!#REF!</definedName>
    <definedName name="外部資料_1379" localSheetId="2">紅綠燈!#REF!</definedName>
    <definedName name="外部資料_138" localSheetId="7">PKA!#REF!</definedName>
    <definedName name="外部資料_138" localSheetId="8">PKB!#REF!</definedName>
    <definedName name="外部資料_138" localSheetId="9">PKC!#REF!</definedName>
    <definedName name="外部資料_138" localSheetId="13">PSR!#REF!</definedName>
    <definedName name="外部資料_138" localSheetId="2">紅綠燈!#REF!</definedName>
    <definedName name="外部資料_138" localSheetId="10">福邦!#REF!</definedName>
    <definedName name="外部資料_1380" localSheetId="2">紅綠燈!#REF!</definedName>
    <definedName name="外部資料_1382" localSheetId="2">紅綠燈!#REF!</definedName>
    <definedName name="外部資料_1383" localSheetId="2">紅綠燈!#REF!</definedName>
    <definedName name="外部資料_1384" localSheetId="2">紅綠燈!#REF!</definedName>
    <definedName name="外部資料_1386" localSheetId="2">紅綠燈!#REF!</definedName>
    <definedName name="外部資料_1387" localSheetId="2">紅綠燈!#REF!</definedName>
    <definedName name="外部資料_1388" localSheetId="2">紅綠燈!#REF!</definedName>
    <definedName name="外部資料_139" localSheetId="7">PKA!#REF!</definedName>
    <definedName name="外部資料_139" localSheetId="8">PKB!#REF!</definedName>
    <definedName name="外部資料_139" localSheetId="9">PKC!#REF!</definedName>
    <definedName name="外部資料_139" localSheetId="13">PSR!#REF!</definedName>
    <definedName name="外部資料_139" localSheetId="2">紅綠燈!#REF!</definedName>
    <definedName name="外部資料_139" localSheetId="10">福邦!#REF!</definedName>
    <definedName name="外部資料_1390" localSheetId="2">紅綠燈!#REF!</definedName>
    <definedName name="外部資料_1391" localSheetId="2">紅綠燈!#REF!</definedName>
    <definedName name="外部資料_1392" localSheetId="2">紅綠燈!#REF!</definedName>
    <definedName name="外部資料_1394" localSheetId="2">紅綠燈!#REF!</definedName>
    <definedName name="外部資料_1395" localSheetId="2">紅綠燈!#REF!</definedName>
    <definedName name="外部資料_1397" localSheetId="2">紅綠燈!#REF!</definedName>
    <definedName name="外部資料_1398" localSheetId="2">紅綠燈!#REF!</definedName>
    <definedName name="外部資料_14" localSheetId="7">PKA!#REF!</definedName>
    <definedName name="外部資料_14" localSheetId="8">PKB!#REF!</definedName>
    <definedName name="外部資料_14" localSheetId="9">PKC!#REF!</definedName>
    <definedName name="外部資料_14" localSheetId="13">PSR!#REF!</definedName>
    <definedName name="外部資料_14" localSheetId="2">紅綠燈!#REF!</definedName>
    <definedName name="外部資料_14" localSheetId="3">評比系統!#REF!</definedName>
    <definedName name="外部資料_14" localSheetId="10">福邦!#REF!</definedName>
    <definedName name="外部資料_14" localSheetId="4">篩股系統!#REF!</definedName>
    <definedName name="外部資料_14" localSheetId="11">營收搶先報!#REF!</definedName>
    <definedName name="外部資料_140" localSheetId="7">PKA!#REF!</definedName>
    <definedName name="外部資料_140" localSheetId="8">PKB!#REF!</definedName>
    <definedName name="外部資料_140" localSheetId="9">PKC!#REF!</definedName>
    <definedName name="外部資料_140" localSheetId="13">PSR!#REF!</definedName>
    <definedName name="外部資料_140" localSheetId="10">福邦!#REF!</definedName>
    <definedName name="外部資料_1400" localSheetId="2">紅綠燈!#REF!</definedName>
    <definedName name="外部資料_1401" localSheetId="2">紅綠燈!#REF!</definedName>
    <definedName name="外部資料_1402" localSheetId="2">紅綠燈!#REF!</definedName>
    <definedName name="外部資料_1404" localSheetId="2">紅綠燈!#REF!</definedName>
    <definedName name="外部資料_1405" localSheetId="2">紅綠燈!#REF!</definedName>
    <definedName name="外部資料_1406" localSheetId="2">紅綠燈!#REF!</definedName>
    <definedName name="外部資料_1408" localSheetId="2">紅綠燈!#REF!</definedName>
    <definedName name="外部資料_1409" localSheetId="2">紅綠燈!#REF!</definedName>
    <definedName name="外部資料_141" localSheetId="7">PKA!#REF!</definedName>
    <definedName name="外部資料_141" localSheetId="8">PKB!#REF!</definedName>
    <definedName name="外部資料_141" localSheetId="9">PKC!#REF!</definedName>
    <definedName name="外部資料_141" localSheetId="13">PSR!#REF!</definedName>
    <definedName name="外部資料_141" localSheetId="2">紅綠燈!#REF!</definedName>
    <definedName name="外部資料_141" localSheetId="10">福邦!#REF!</definedName>
    <definedName name="外部資料_1410" localSheetId="2">紅綠燈!#REF!</definedName>
    <definedName name="外部資料_1412" localSheetId="2">紅綠燈!#REF!</definedName>
    <definedName name="外部資料_1413" localSheetId="2">紅綠燈!#REF!</definedName>
    <definedName name="外部資料_1414" localSheetId="2">紅綠燈!#REF!</definedName>
    <definedName name="外部資料_1416" localSheetId="2">紅綠燈!#REF!</definedName>
    <definedName name="外部資料_1417" localSheetId="2">紅綠燈!#REF!</definedName>
    <definedName name="外部資料_1418" localSheetId="2">紅綠燈!#REF!</definedName>
    <definedName name="外部資料_142" localSheetId="7">PKA!#REF!</definedName>
    <definedName name="外部資料_142" localSheetId="8">PKB!#REF!</definedName>
    <definedName name="外部資料_142" localSheetId="9">PKC!#REF!</definedName>
    <definedName name="外部資料_142" localSheetId="13">PSR!#REF!</definedName>
    <definedName name="外部資料_142" localSheetId="2">紅綠燈!#REF!</definedName>
    <definedName name="外部資料_142" localSheetId="10">福邦!#REF!</definedName>
    <definedName name="外部資料_1420" localSheetId="2">紅綠燈!#REF!</definedName>
    <definedName name="外部資料_1421" localSheetId="2">紅綠燈!#REF!</definedName>
    <definedName name="外部資料_1423" localSheetId="2">紅綠燈!#REF!</definedName>
    <definedName name="外部資料_1424" localSheetId="2">紅綠燈!#REF!</definedName>
    <definedName name="外部資料_1425" localSheetId="2">紅綠燈!#REF!</definedName>
    <definedName name="外部資料_1427" localSheetId="2">紅綠燈!#REF!</definedName>
    <definedName name="外部資料_1428" localSheetId="2">紅綠燈!#REF!</definedName>
    <definedName name="外部資料_1429" localSheetId="2">紅綠燈!#REF!</definedName>
    <definedName name="外部資料_143" localSheetId="7">PKA!#REF!</definedName>
    <definedName name="外部資料_143" localSheetId="8">PKB!#REF!</definedName>
    <definedName name="外部資料_143" localSheetId="9">PKC!#REF!</definedName>
    <definedName name="外部資料_143" localSheetId="13">PSR!#REF!</definedName>
    <definedName name="外部資料_143" localSheetId="2">紅綠燈!#REF!</definedName>
    <definedName name="外部資料_143" localSheetId="10">福邦!#REF!</definedName>
    <definedName name="外部資料_1431" localSheetId="2">紅綠燈!#REF!</definedName>
    <definedName name="外部資料_1432" localSheetId="2">紅綠燈!#REF!</definedName>
    <definedName name="外部資料_1433" localSheetId="2">紅綠燈!#REF!</definedName>
    <definedName name="外部資料_1435" localSheetId="2">紅綠燈!#REF!</definedName>
    <definedName name="外部資料_1436" localSheetId="2">紅綠燈!#REF!</definedName>
    <definedName name="外部資料_1437" localSheetId="2">紅綠燈!#REF!</definedName>
    <definedName name="外部資料_1439" localSheetId="2">紅綠燈!#REF!</definedName>
    <definedName name="外部資料_144" localSheetId="7">PKA!#REF!</definedName>
    <definedName name="外部資料_144" localSheetId="8">PKB!#REF!</definedName>
    <definedName name="外部資料_144" localSheetId="9">PKC!#REF!</definedName>
    <definedName name="外部資料_144" localSheetId="13">PSR!#REF!</definedName>
    <definedName name="外部資料_144" localSheetId="10">福邦!#REF!</definedName>
    <definedName name="外部資料_1440" localSheetId="2">紅綠燈!#REF!</definedName>
    <definedName name="外部資料_1441" localSheetId="2">紅綠燈!#REF!</definedName>
    <definedName name="外部資料_1443" localSheetId="2">紅綠燈!#REF!</definedName>
    <definedName name="外部資料_1444" localSheetId="2">紅綠燈!#REF!</definedName>
    <definedName name="外部資料_1445" localSheetId="2">紅綠燈!#REF!</definedName>
    <definedName name="外部資料_1447" localSheetId="2">紅綠燈!#REF!</definedName>
    <definedName name="外部資料_1448" localSheetId="2">紅綠燈!#REF!</definedName>
    <definedName name="外部資料_1449" localSheetId="2">紅綠燈!#REF!</definedName>
    <definedName name="外部資料_145" localSheetId="7">PKA!#REF!</definedName>
    <definedName name="外部資料_145" localSheetId="8">PKB!#REF!</definedName>
    <definedName name="外部資料_145" localSheetId="9">PKC!#REF!</definedName>
    <definedName name="外部資料_145" localSheetId="13">PSR!#REF!</definedName>
    <definedName name="外部資料_145" localSheetId="2">紅綠燈!#REF!</definedName>
    <definedName name="外部資料_145" localSheetId="10">福邦!#REF!</definedName>
    <definedName name="外部資料_1451" localSheetId="2">紅綠燈!#REF!</definedName>
    <definedName name="外部資料_1452" localSheetId="2">紅綠燈!#REF!</definedName>
    <definedName name="外部資料_1453" localSheetId="2">紅綠燈!#REF!</definedName>
    <definedName name="外部資料_1455" localSheetId="2">紅綠燈!#REF!</definedName>
    <definedName name="外部資料_1456" localSheetId="2">紅綠燈!#REF!</definedName>
    <definedName name="外部資料_1457" localSheetId="2">紅綠燈!#REF!</definedName>
    <definedName name="外部資料_1459" localSheetId="2">紅綠燈!#REF!</definedName>
    <definedName name="外部資料_146" localSheetId="7">PKA!#REF!</definedName>
    <definedName name="外部資料_146" localSheetId="8">PKB!#REF!</definedName>
    <definedName name="外部資料_146" localSheetId="9">PKC!#REF!</definedName>
    <definedName name="外部資料_146" localSheetId="13">PSR!#REF!</definedName>
    <definedName name="外部資料_146" localSheetId="2">紅綠燈!#REF!</definedName>
    <definedName name="外部資料_146" localSheetId="10">福邦!#REF!</definedName>
    <definedName name="外部資料_1460" localSheetId="2">紅綠燈!#REF!</definedName>
    <definedName name="外部資料_1461" localSheetId="2">紅綠燈!#REF!</definedName>
    <definedName name="外部資料_1463" localSheetId="2">紅綠燈!#REF!</definedName>
    <definedName name="外部資料_1464" localSheetId="2">紅綠燈!#REF!</definedName>
    <definedName name="外部資料_1465" localSheetId="2">紅綠燈!#REF!</definedName>
    <definedName name="外部資料_1467" localSheetId="2">紅綠燈!#REF!</definedName>
    <definedName name="外部資料_1468" localSheetId="2">紅綠燈!#REF!</definedName>
    <definedName name="外部資料_1469" localSheetId="2">紅綠燈!#REF!</definedName>
    <definedName name="外部資料_147" localSheetId="7">PKA!#REF!</definedName>
    <definedName name="外部資料_147" localSheetId="8">PKB!#REF!</definedName>
    <definedName name="外部資料_147" localSheetId="9">PKC!#REF!</definedName>
    <definedName name="外部資料_147" localSheetId="13">PSR!#REF!</definedName>
    <definedName name="外部資料_147" localSheetId="2">紅綠燈!#REF!</definedName>
    <definedName name="外部資料_147" localSheetId="10">福邦!#REF!</definedName>
    <definedName name="外部資料_1471" localSheetId="2">紅綠燈!#REF!</definedName>
    <definedName name="外部資料_1472" localSheetId="2">紅綠燈!#REF!</definedName>
    <definedName name="外部資料_1473" localSheetId="2">紅綠燈!#REF!</definedName>
    <definedName name="外部資料_1475" localSheetId="2">紅綠燈!#REF!</definedName>
    <definedName name="外部資料_1476" localSheetId="2">紅綠燈!#REF!</definedName>
    <definedName name="外部資料_1478" localSheetId="2">紅綠燈!#REF!</definedName>
    <definedName name="外部資料_1479" localSheetId="2">紅綠燈!#REF!</definedName>
    <definedName name="外部資料_148" localSheetId="7">PKA!#REF!</definedName>
    <definedName name="外部資料_148" localSheetId="8">PKB!#REF!</definedName>
    <definedName name="外部資料_148" localSheetId="9">PKC!#REF!</definedName>
    <definedName name="外部資料_148" localSheetId="13">PSR!#REF!</definedName>
    <definedName name="外部資料_148" localSheetId="10">福邦!#REF!</definedName>
    <definedName name="外部資料_1480" localSheetId="2">紅綠燈!#REF!</definedName>
    <definedName name="外部資料_1482" localSheetId="2">紅綠燈!#REF!</definedName>
    <definedName name="外部資料_1483" localSheetId="2">紅綠燈!#REF!</definedName>
    <definedName name="外部資料_1484" localSheetId="2">紅綠燈!#REF!</definedName>
    <definedName name="外部資料_1486" localSheetId="2">紅綠燈!#REF!</definedName>
    <definedName name="外部資料_1487" localSheetId="2">紅綠燈!#REF!</definedName>
    <definedName name="外部資料_1489" localSheetId="2">紅綠燈!#REF!</definedName>
    <definedName name="外部資料_149" localSheetId="7">PKA!#REF!</definedName>
    <definedName name="外部資料_149" localSheetId="8">PKB!#REF!</definedName>
    <definedName name="外部資料_149" localSheetId="9">PKC!#REF!</definedName>
    <definedName name="外部資料_149" localSheetId="13">PSR!#REF!</definedName>
    <definedName name="外部資料_149" localSheetId="2">紅綠燈!#REF!</definedName>
    <definedName name="外部資料_149" localSheetId="10">福邦!#REF!</definedName>
    <definedName name="外部資料_1490" localSheetId="2">紅綠燈!#REF!</definedName>
    <definedName name="外部資料_1491" localSheetId="2">紅綠燈!#REF!</definedName>
    <definedName name="外部資料_1493" localSheetId="2">紅綠燈!#REF!</definedName>
    <definedName name="外部資料_1494" localSheetId="2">紅綠燈!#REF!</definedName>
    <definedName name="外部資料_1495" localSheetId="2">紅綠燈!#REF!</definedName>
    <definedName name="外部資料_1497" localSheetId="2">紅綠燈!#REF!</definedName>
    <definedName name="外部資料_1498" localSheetId="2">紅綠燈!#REF!</definedName>
    <definedName name="外部資料_1499" localSheetId="2">紅綠燈!#REF!</definedName>
    <definedName name="外部資料_15" localSheetId="7">PKA!#REF!</definedName>
    <definedName name="外部資料_15" localSheetId="8">PKB!#REF!</definedName>
    <definedName name="外部資料_15" localSheetId="9">PKC!#REF!</definedName>
    <definedName name="外部資料_15" localSheetId="13">PSR!#REF!</definedName>
    <definedName name="外部資料_15" localSheetId="2">紅綠燈!$N$55:$AD$112</definedName>
    <definedName name="外部資料_15" localSheetId="3">評比系統!#REF!</definedName>
    <definedName name="外部資料_15" localSheetId="10">福邦!#REF!</definedName>
    <definedName name="外部資料_15" localSheetId="4">篩股系統!#REF!</definedName>
    <definedName name="外部資料_15" localSheetId="11">營收搶先報!#REF!</definedName>
    <definedName name="外部資料_150" localSheetId="7">PKA!#REF!</definedName>
    <definedName name="外部資料_150" localSheetId="8">PKB!#REF!</definedName>
    <definedName name="外部資料_150" localSheetId="9">PKC!#REF!</definedName>
    <definedName name="外部資料_150" localSheetId="13">PSR!#REF!</definedName>
    <definedName name="外部資料_150" localSheetId="2">紅綠燈!#REF!</definedName>
    <definedName name="外部資料_150" localSheetId="10">福邦!#REF!</definedName>
    <definedName name="外部資料_1501" localSheetId="2">紅綠燈!#REF!</definedName>
    <definedName name="外部資料_1502" localSheetId="2">紅綠燈!#REF!</definedName>
    <definedName name="外部資料_1504" localSheetId="2">紅綠燈!#REF!</definedName>
    <definedName name="外部資料_1505" localSheetId="2">紅綠燈!#REF!</definedName>
    <definedName name="外部資料_1506" localSheetId="2">紅綠燈!#REF!</definedName>
    <definedName name="外部資料_1508" localSheetId="2">紅綠燈!#REF!</definedName>
    <definedName name="外部資料_1509" localSheetId="2">紅綠燈!#REF!</definedName>
    <definedName name="外部資料_151" localSheetId="7">PKA!#REF!</definedName>
    <definedName name="外部資料_151" localSheetId="8">PKB!#REF!</definedName>
    <definedName name="外部資料_151" localSheetId="9">PKC!#REF!</definedName>
    <definedName name="外部資料_151" localSheetId="13">PSR!#REF!</definedName>
    <definedName name="外部資料_151" localSheetId="2">紅綠燈!#REF!</definedName>
    <definedName name="外部資料_151" localSheetId="10">福邦!#REF!</definedName>
    <definedName name="外部資料_1510" localSheetId="2">紅綠燈!#REF!</definedName>
    <definedName name="外部資料_1512" localSheetId="2">紅綠燈!#REF!</definedName>
    <definedName name="外部資料_1513" localSheetId="2">紅綠燈!#REF!</definedName>
    <definedName name="外部資料_1514" localSheetId="2">紅綠燈!#REF!</definedName>
    <definedName name="外部資料_1516" localSheetId="2">紅綠燈!#REF!</definedName>
    <definedName name="外部資料_1517" localSheetId="2">紅綠燈!#REF!</definedName>
    <definedName name="外部資料_1518" localSheetId="2">紅綠燈!#REF!</definedName>
    <definedName name="外部資料_152" localSheetId="7">PKA!#REF!</definedName>
    <definedName name="外部資料_152" localSheetId="8">PKB!#REF!</definedName>
    <definedName name="外部資料_152" localSheetId="9">PKC!#REF!</definedName>
    <definedName name="外部資料_152" localSheetId="13">PSR!#REF!</definedName>
    <definedName name="外部資料_152" localSheetId="10">福邦!#REF!</definedName>
    <definedName name="外部資料_1520" localSheetId="2">紅綠燈!#REF!</definedName>
    <definedName name="外部資料_1521" localSheetId="2">紅綠燈!#REF!</definedName>
    <definedName name="外部資料_1522" localSheetId="2">紅綠燈!#REF!</definedName>
    <definedName name="外部資料_1524" localSheetId="2">紅綠燈!#REF!</definedName>
    <definedName name="外部資料_1525" localSheetId="2">紅綠燈!#REF!</definedName>
    <definedName name="外部資料_1526" localSheetId="2">紅綠燈!#REF!</definedName>
    <definedName name="外部資料_1528" localSheetId="2">紅綠燈!#REF!</definedName>
    <definedName name="外部資料_1529" localSheetId="2">紅綠燈!#REF!</definedName>
    <definedName name="外部資料_153" localSheetId="7">PKA!#REF!</definedName>
    <definedName name="外部資料_153" localSheetId="8">PKB!#REF!</definedName>
    <definedName name="外部資料_153" localSheetId="9">PKC!#REF!</definedName>
    <definedName name="外部資料_153" localSheetId="13">PSR!#REF!</definedName>
    <definedName name="外部資料_153" localSheetId="2">紅綠燈!#REF!</definedName>
    <definedName name="外部資料_153" localSheetId="10">福邦!#REF!</definedName>
    <definedName name="外部資料_1530" localSheetId="2">紅綠燈!#REF!</definedName>
    <definedName name="外部資料_1532" localSheetId="2">紅綠燈!#REF!</definedName>
    <definedName name="外部資料_1533" localSheetId="2">紅綠燈!#REF!</definedName>
    <definedName name="外部資料_1534" localSheetId="2">紅綠燈!#REF!</definedName>
    <definedName name="外部資料_1536" localSheetId="2">紅綠燈!#REF!</definedName>
    <definedName name="外部資料_1537" localSheetId="2">紅綠燈!#REF!</definedName>
    <definedName name="外部資料_1538" localSheetId="2">紅綠燈!#REF!</definedName>
    <definedName name="外部資料_154" localSheetId="7">PKA!#REF!</definedName>
    <definedName name="外部資料_154" localSheetId="8">PKB!#REF!</definedName>
    <definedName name="外部資料_154" localSheetId="9">PKC!#REF!</definedName>
    <definedName name="外部資料_154" localSheetId="13">PSR!#REF!</definedName>
    <definedName name="外部資料_154" localSheetId="2">紅綠燈!#REF!</definedName>
    <definedName name="外部資料_154" localSheetId="10">福邦!#REF!</definedName>
    <definedName name="外部資料_1540" localSheetId="2">紅綠燈!#REF!</definedName>
    <definedName name="外部資料_1541" localSheetId="2">紅綠燈!#REF!</definedName>
    <definedName name="外部資料_1542" localSheetId="2">紅綠燈!#REF!</definedName>
    <definedName name="外部資料_1544" localSheetId="2">紅綠燈!#REF!</definedName>
    <definedName name="外部資料_1545" localSheetId="2">紅綠燈!#REF!</definedName>
    <definedName name="外部資料_1546" localSheetId="2">紅綠燈!#REF!</definedName>
    <definedName name="外部資料_1548" localSheetId="2">紅綠燈!#REF!</definedName>
    <definedName name="外部資料_1549" localSheetId="2">紅綠燈!#REF!</definedName>
    <definedName name="外部資料_155" localSheetId="7">PKA!#REF!</definedName>
    <definedName name="外部資料_155" localSheetId="8">PKB!#REF!</definedName>
    <definedName name="外部資料_155" localSheetId="9">PKC!#REF!</definedName>
    <definedName name="外部資料_155" localSheetId="13">PSR!#REF!</definedName>
    <definedName name="外部資料_155" localSheetId="2">紅綠燈!#REF!</definedName>
    <definedName name="外部資料_155" localSheetId="3">評比系統!#REF!</definedName>
    <definedName name="外部資料_155" localSheetId="10">福邦!#REF!</definedName>
    <definedName name="外部資料_1550" localSheetId="2">紅綠燈!#REF!</definedName>
    <definedName name="外部資料_1552" localSheetId="2">紅綠燈!#REF!</definedName>
    <definedName name="外部資料_1553" localSheetId="2">紅綠燈!#REF!</definedName>
    <definedName name="外部資料_1554" localSheetId="2">紅綠燈!#REF!</definedName>
    <definedName name="外部資料_1556" localSheetId="2">紅綠燈!#REF!</definedName>
    <definedName name="外部資料_1557" localSheetId="2">紅綠燈!#REF!</definedName>
    <definedName name="外部資料_1558" localSheetId="2">紅綠燈!#REF!</definedName>
    <definedName name="外部資料_156" localSheetId="7">PKA!#REF!</definedName>
    <definedName name="外部資料_156" localSheetId="8">PKB!#REF!</definedName>
    <definedName name="外部資料_156" localSheetId="9">PKC!#REF!</definedName>
    <definedName name="外部資料_156" localSheetId="13">PSR!#REF!</definedName>
    <definedName name="外部資料_156" localSheetId="10">福邦!#REF!</definedName>
    <definedName name="外部資料_1560" localSheetId="2">紅綠燈!#REF!</definedName>
    <definedName name="外部資料_1561" localSheetId="2">紅綠燈!#REF!</definedName>
    <definedName name="外部資料_1562" localSheetId="2">紅綠燈!#REF!</definedName>
    <definedName name="外部資料_1564" localSheetId="2">紅綠燈!#REF!</definedName>
    <definedName name="外部資料_1565" localSheetId="2">紅綠燈!#REF!</definedName>
    <definedName name="外部資料_1566" localSheetId="2">紅綠燈!#REF!</definedName>
    <definedName name="外部資料_1568" localSheetId="2">紅綠燈!#REF!</definedName>
    <definedName name="外部資料_1569" localSheetId="2">紅綠燈!#REF!</definedName>
    <definedName name="外部資料_157" localSheetId="7">PKA!#REF!</definedName>
    <definedName name="外部資料_157" localSheetId="8">PKB!#REF!</definedName>
    <definedName name="外部資料_157" localSheetId="9">PKC!#REF!</definedName>
    <definedName name="外部資料_157" localSheetId="13">PSR!#REF!</definedName>
    <definedName name="外部資料_157" localSheetId="2">紅綠燈!#REF!</definedName>
    <definedName name="外部資料_157" localSheetId="10">福邦!#REF!</definedName>
    <definedName name="外部資料_1570" localSheetId="2">紅綠燈!#REF!</definedName>
    <definedName name="外部資料_1572" localSheetId="2">紅綠燈!#REF!</definedName>
    <definedName name="外部資料_1573" localSheetId="2">紅綠燈!#REF!</definedName>
    <definedName name="外部資料_1574" localSheetId="2">紅綠燈!#REF!</definedName>
    <definedName name="外部資料_1576" localSheetId="2">紅綠燈!#REF!</definedName>
    <definedName name="外部資料_1577" localSheetId="2">紅綠燈!#REF!</definedName>
    <definedName name="外部資料_1578" localSheetId="2">紅綠燈!#REF!</definedName>
    <definedName name="外部資料_158" localSheetId="7">PKA!#REF!</definedName>
    <definedName name="外部資料_158" localSheetId="8">PKB!#REF!</definedName>
    <definedName name="外部資料_158" localSheetId="9">PKC!#REF!</definedName>
    <definedName name="外部資料_158" localSheetId="13">PSR!#REF!</definedName>
    <definedName name="外部資料_158" localSheetId="2">紅綠燈!#REF!</definedName>
    <definedName name="外部資料_158" localSheetId="10">福邦!#REF!</definedName>
    <definedName name="外部資料_1580" localSheetId="2">紅綠燈!#REF!</definedName>
    <definedName name="外部資料_1581" localSheetId="2">紅綠燈!#REF!</definedName>
    <definedName name="外部資料_1582" localSheetId="2">紅綠燈!#REF!</definedName>
    <definedName name="外部資料_1584" localSheetId="2">紅綠燈!#REF!</definedName>
    <definedName name="外部資料_1585" localSheetId="2">紅綠燈!#REF!</definedName>
    <definedName name="外部資料_1586" localSheetId="2">紅綠燈!#REF!</definedName>
    <definedName name="外部資料_1588" localSheetId="2">紅綠燈!#REF!</definedName>
    <definedName name="外部資料_1589" localSheetId="2">紅綠燈!#REF!</definedName>
    <definedName name="外部資料_159" localSheetId="7">PKA!#REF!</definedName>
    <definedName name="外部資料_159" localSheetId="8">PKB!#REF!</definedName>
    <definedName name="外部資料_159" localSheetId="9">PKC!#REF!</definedName>
    <definedName name="外部資料_159" localSheetId="13">PSR!#REF!</definedName>
    <definedName name="外部資料_159" localSheetId="2">紅綠燈!#REF!</definedName>
    <definedName name="外部資料_159" localSheetId="10">福邦!#REF!</definedName>
    <definedName name="外部資料_1590" localSheetId="2">紅綠燈!#REF!</definedName>
    <definedName name="外部資料_1592" localSheetId="2">紅綠燈!#REF!</definedName>
    <definedName name="外部資料_1593" localSheetId="2">紅綠燈!#REF!</definedName>
    <definedName name="外部資料_1594" localSheetId="2">紅綠燈!#REF!</definedName>
    <definedName name="外部資料_1596" localSheetId="2">紅綠燈!#REF!</definedName>
    <definedName name="外部資料_1597" localSheetId="2">紅綠燈!#REF!</definedName>
    <definedName name="外部資料_1598" localSheetId="2">紅綠燈!#REF!</definedName>
    <definedName name="外部資料_16" localSheetId="7">PKA!#REF!</definedName>
    <definedName name="外部資料_16" localSheetId="8">PKB!#REF!</definedName>
    <definedName name="外部資料_16" localSheetId="9">PKC!#REF!</definedName>
    <definedName name="外部資料_16" localSheetId="13">PSR!#REF!</definedName>
    <definedName name="外部資料_16" localSheetId="2">紅綠燈!#REF!</definedName>
    <definedName name="外部資料_16" localSheetId="3">評比系統!#REF!</definedName>
    <definedName name="外部資料_16" localSheetId="10">福邦!#REF!</definedName>
    <definedName name="外部資料_16" localSheetId="4">篩股系統!#REF!</definedName>
    <definedName name="外部資料_16" localSheetId="11">營收搶先報!#REF!</definedName>
    <definedName name="外部資料_160" localSheetId="7">PKA!#REF!</definedName>
    <definedName name="外部資料_160" localSheetId="8">PKB!#REF!</definedName>
    <definedName name="外部資料_160" localSheetId="9">PKC!#REF!</definedName>
    <definedName name="外部資料_160" localSheetId="13">PSR!#REF!</definedName>
    <definedName name="外部資料_160" localSheetId="10">福邦!#REF!</definedName>
    <definedName name="外部資料_1600" localSheetId="2">紅綠燈!#REF!</definedName>
    <definedName name="外部資料_1601" localSheetId="2">紅綠燈!#REF!</definedName>
    <definedName name="外部資料_1602" localSheetId="2">紅綠燈!#REF!</definedName>
    <definedName name="外部資料_1604" localSheetId="2">紅綠燈!#REF!</definedName>
    <definedName name="外部資料_1605" localSheetId="2">紅綠燈!#REF!</definedName>
    <definedName name="外部資料_1606" localSheetId="2">紅綠燈!#REF!</definedName>
    <definedName name="外部資料_1608" localSheetId="2">紅綠燈!#REF!</definedName>
    <definedName name="外部資料_1609" localSheetId="2">紅綠燈!#REF!</definedName>
    <definedName name="外部資料_161" localSheetId="7">PKA!#REF!</definedName>
    <definedName name="外部資料_161" localSheetId="8">PKB!#REF!</definedName>
    <definedName name="外部資料_161" localSheetId="9">PKC!#REF!</definedName>
    <definedName name="外部資料_161" localSheetId="13">PSR!#REF!</definedName>
    <definedName name="外部資料_161" localSheetId="2">紅綠燈!#REF!</definedName>
    <definedName name="外部資料_161" localSheetId="10">福邦!#REF!</definedName>
    <definedName name="外部資料_1610" localSheetId="2">紅綠燈!#REF!</definedName>
    <definedName name="外部資料_1612" localSheetId="2">紅綠燈!#REF!</definedName>
    <definedName name="外部資料_1613" localSheetId="2">紅綠燈!#REF!</definedName>
    <definedName name="外部資料_1614" localSheetId="2">紅綠燈!#REF!</definedName>
    <definedName name="外部資料_1616" localSheetId="2">紅綠燈!#REF!</definedName>
    <definedName name="外部資料_1617" localSheetId="2">紅綠燈!#REF!</definedName>
    <definedName name="外部資料_1618" localSheetId="2">紅綠燈!#REF!</definedName>
    <definedName name="外部資料_162" localSheetId="7">PKA!#REF!</definedName>
    <definedName name="外部資料_162" localSheetId="8">PKB!#REF!</definedName>
    <definedName name="外部資料_162" localSheetId="9">PKC!#REF!</definedName>
    <definedName name="外部資料_162" localSheetId="13">PSR!#REF!</definedName>
    <definedName name="外部資料_162" localSheetId="2">紅綠燈!#REF!</definedName>
    <definedName name="外部資料_162" localSheetId="10">福邦!#REF!</definedName>
    <definedName name="外部資料_1620" localSheetId="2">紅綠燈!#REF!</definedName>
    <definedName name="外部資料_1621" localSheetId="2">紅綠燈!#REF!</definedName>
    <definedName name="外部資料_1622" localSheetId="2">紅綠燈!#REF!</definedName>
    <definedName name="外部資料_1624" localSheetId="2">紅綠燈!#REF!</definedName>
    <definedName name="外部資料_1625" localSheetId="2">紅綠燈!#REF!</definedName>
    <definedName name="外部資料_1626" localSheetId="2">紅綠燈!#REF!</definedName>
    <definedName name="外部資料_1628" localSheetId="2">紅綠燈!#REF!</definedName>
    <definedName name="外部資料_1629" localSheetId="2">紅綠燈!#REF!</definedName>
    <definedName name="外部資料_163" localSheetId="7">PKA!#REF!</definedName>
    <definedName name="外部資料_163" localSheetId="8">PKB!#REF!</definedName>
    <definedName name="外部資料_163" localSheetId="9">PKC!#REF!</definedName>
    <definedName name="外部資料_163" localSheetId="13">PSR!#REF!</definedName>
    <definedName name="外部資料_163" localSheetId="2">紅綠燈!#REF!</definedName>
    <definedName name="外部資料_163" localSheetId="10">福邦!#REF!</definedName>
    <definedName name="外部資料_1630" localSheetId="2">紅綠燈!#REF!</definedName>
    <definedName name="外部資料_1632" localSheetId="2">紅綠燈!#REF!</definedName>
    <definedName name="外部資料_1633" localSheetId="2">紅綠燈!#REF!</definedName>
    <definedName name="外部資料_1634" localSheetId="2">紅綠燈!#REF!</definedName>
    <definedName name="外部資料_1636" localSheetId="2">紅綠燈!#REF!</definedName>
    <definedName name="外部資料_1637" localSheetId="2">紅綠燈!#REF!</definedName>
    <definedName name="外部資料_1638" localSheetId="2">紅綠燈!#REF!</definedName>
    <definedName name="外部資料_164" localSheetId="7">PKA!#REF!</definedName>
    <definedName name="外部資料_164" localSheetId="8">PKB!#REF!</definedName>
    <definedName name="外部資料_164" localSheetId="9">PKC!#REF!</definedName>
    <definedName name="外部資料_164" localSheetId="13">PSR!#REF!</definedName>
    <definedName name="外部資料_164" localSheetId="10">福邦!#REF!</definedName>
    <definedName name="外部資料_1640" localSheetId="2">紅綠燈!#REF!</definedName>
    <definedName name="外部資料_1641" localSheetId="2">紅綠燈!#REF!</definedName>
    <definedName name="外部資料_1642" localSheetId="2">紅綠燈!#REF!</definedName>
    <definedName name="外部資料_1644" localSheetId="2">紅綠燈!#REF!</definedName>
    <definedName name="外部資料_1645" localSheetId="2">紅綠燈!#REF!</definedName>
    <definedName name="外部資料_1646" localSheetId="2">紅綠燈!#REF!</definedName>
    <definedName name="外部資料_1648" localSheetId="2">紅綠燈!#REF!</definedName>
    <definedName name="外部資料_1649" localSheetId="2">紅綠燈!#REF!</definedName>
    <definedName name="外部資料_165" localSheetId="7">PKA!#REF!</definedName>
    <definedName name="外部資料_165" localSheetId="8">PKB!#REF!</definedName>
    <definedName name="外部資料_165" localSheetId="9">PKC!#REF!</definedName>
    <definedName name="外部資料_165" localSheetId="13">PSR!#REF!</definedName>
    <definedName name="外部資料_165" localSheetId="2">紅綠燈!#REF!</definedName>
    <definedName name="外部資料_165" localSheetId="10">福邦!#REF!</definedName>
    <definedName name="外部資料_1650" localSheetId="2">紅綠燈!#REF!</definedName>
    <definedName name="外部資料_1652" localSheetId="2">紅綠燈!#REF!</definedName>
    <definedName name="外部資料_1653" localSheetId="2">紅綠燈!#REF!</definedName>
    <definedName name="外部資料_1654" localSheetId="2">紅綠燈!#REF!</definedName>
    <definedName name="外部資料_1656" localSheetId="2">紅綠燈!#REF!</definedName>
    <definedName name="外部資料_1657" localSheetId="2">紅綠燈!#REF!</definedName>
    <definedName name="外部資料_1658" localSheetId="2">紅綠燈!#REF!</definedName>
    <definedName name="外部資料_166" localSheetId="7">PKA!#REF!</definedName>
    <definedName name="外部資料_166" localSheetId="8">PKB!#REF!</definedName>
    <definedName name="外部資料_166" localSheetId="9">PKC!#REF!</definedName>
    <definedName name="外部資料_166" localSheetId="13">PSR!#REF!</definedName>
    <definedName name="外部資料_166" localSheetId="2">紅綠燈!#REF!</definedName>
    <definedName name="外部資料_166" localSheetId="10">福邦!#REF!</definedName>
    <definedName name="外部資料_1660" localSheetId="2">紅綠燈!#REF!</definedName>
    <definedName name="外部資料_1661" localSheetId="2">紅綠燈!#REF!</definedName>
    <definedName name="外部資料_1662" localSheetId="2">紅綠燈!#REF!</definedName>
    <definedName name="外部資料_1664" localSheetId="2">紅綠燈!#REF!</definedName>
    <definedName name="外部資料_1665" localSheetId="2">紅綠燈!#REF!</definedName>
    <definedName name="外部資料_1666" localSheetId="2">紅綠燈!#REF!</definedName>
    <definedName name="外部資料_1668" localSheetId="2">紅綠燈!#REF!</definedName>
    <definedName name="外部資料_1669" localSheetId="2">紅綠燈!#REF!</definedName>
    <definedName name="外部資料_167" localSheetId="7">PKA!#REF!</definedName>
    <definedName name="外部資料_167" localSheetId="8">PKB!#REF!</definedName>
    <definedName name="外部資料_167" localSheetId="9">PKC!#REF!</definedName>
    <definedName name="外部資料_167" localSheetId="13">PSR!#REF!</definedName>
    <definedName name="外部資料_167" localSheetId="2">紅綠燈!#REF!</definedName>
    <definedName name="外部資料_167" localSheetId="10">福邦!#REF!</definedName>
    <definedName name="外部資料_1670" localSheetId="2">紅綠燈!#REF!</definedName>
    <definedName name="外部資料_1672" localSheetId="2">紅綠燈!#REF!</definedName>
    <definedName name="外部資料_1673" localSheetId="2">紅綠燈!#REF!</definedName>
    <definedName name="外部資料_1674" localSheetId="2">紅綠燈!#REF!</definedName>
    <definedName name="外部資料_1676" localSheetId="2">紅綠燈!#REF!</definedName>
    <definedName name="外部資料_1677" localSheetId="2">紅綠燈!#REF!</definedName>
    <definedName name="外部資料_1678" localSheetId="2">紅綠燈!#REF!</definedName>
    <definedName name="外部資料_168" localSheetId="7">PKA!#REF!</definedName>
    <definedName name="外部資料_168" localSheetId="8">PKB!#REF!</definedName>
    <definedName name="外部資料_168" localSheetId="9">PKC!#REF!</definedName>
    <definedName name="外部資料_168" localSheetId="13">PSR!#REF!</definedName>
    <definedName name="外部資料_168" localSheetId="10">福邦!#REF!</definedName>
    <definedName name="外部資料_1680" localSheetId="2">紅綠燈!#REF!</definedName>
    <definedName name="外部資料_1681" localSheetId="2">紅綠燈!#REF!</definedName>
    <definedName name="外部資料_1682" localSheetId="2">紅綠燈!#REF!</definedName>
    <definedName name="外部資料_1684" localSheetId="2">紅綠燈!#REF!</definedName>
    <definedName name="外部資料_1685" localSheetId="2">紅綠燈!#REF!</definedName>
    <definedName name="外部資料_1686" localSheetId="2">紅綠燈!#REF!</definedName>
    <definedName name="外部資料_1688" localSheetId="2">紅綠燈!#REF!</definedName>
    <definedName name="外部資料_1689" localSheetId="2">紅綠燈!#REF!</definedName>
    <definedName name="外部資料_169" localSheetId="7">PKA!#REF!</definedName>
    <definedName name="外部資料_169" localSheetId="8">PKB!#REF!</definedName>
    <definedName name="外部資料_169" localSheetId="9">PKC!#REF!</definedName>
    <definedName name="外部資料_169" localSheetId="13">PSR!#REF!</definedName>
    <definedName name="外部資料_169" localSheetId="2">紅綠燈!#REF!</definedName>
    <definedName name="外部資料_169" localSheetId="10">福邦!#REF!</definedName>
    <definedName name="外部資料_1690" localSheetId="2">紅綠燈!#REF!</definedName>
    <definedName name="外部資料_1692" localSheetId="2">紅綠燈!#REF!</definedName>
    <definedName name="外部資料_1693" localSheetId="2">紅綠燈!#REF!</definedName>
    <definedName name="外部資料_1695" localSheetId="2">紅綠燈!#REF!</definedName>
    <definedName name="外部資料_1696" localSheetId="2">紅綠燈!#REF!</definedName>
    <definedName name="外部資料_1697" localSheetId="2">紅綠燈!#REF!</definedName>
    <definedName name="外部資料_1699" localSheetId="2">紅綠燈!#REF!</definedName>
    <definedName name="外部資料_17" localSheetId="7">PKA!#REF!</definedName>
    <definedName name="外部資料_17" localSheetId="8">PKB!#REF!</definedName>
    <definedName name="外部資料_17" localSheetId="9">PKC!#REF!</definedName>
    <definedName name="外部資料_17" localSheetId="13">PSR!#REF!</definedName>
    <definedName name="外部資料_17" localSheetId="2">紅綠燈!#REF!</definedName>
    <definedName name="外部資料_17" localSheetId="3">評比系統!#REF!</definedName>
    <definedName name="外部資料_17" localSheetId="10">福邦!#REF!</definedName>
    <definedName name="外部資料_17" localSheetId="4">篩股系統!#REF!</definedName>
    <definedName name="外部資料_17" localSheetId="11">營收搶先報!#REF!</definedName>
    <definedName name="外部資料_170" localSheetId="7">PKA!#REF!</definedName>
    <definedName name="外部資料_170" localSheetId="8">PKB!#REF!</definedName>
    <definedName name="外部資料_170" localSheetId="9">PKC!#REF!</definedName>
    <definedName name="外部資料_170" localSheetId="13">PSR!#REF!</definedName>
    <definedName name="外部資料_170" localSheetId="2">紅綠燈!#REF!</definedName>
    <definedName name="外部資料_170" localSheetId="10">福邦!#REF!</definedName>
    <definedName name="外部資料_1700" localSheetId="2">紅綠燈!#REF!</definedName>
    <definedName name="外部資料_1701" localSheetId="2">紅綠燈!#REF!</definedName>
    <definedName name="外部資料_1703" localSheetId="2">紅綠燈!#REF!</definedName>
    <definedName name="外部資料_1704" localSheetId="2">紅綠燈!#REF!</definedName>
    <definedName name="外部資料_1706" localSheetId="2">紅綠燈!#REF!</definedName>
    <definedName name="外部資料_1707" localSheetId="2">紅綠燈!#REF!</definedName>
    <definedName name="外部資料_1708" localSheetId="2">紅綠燈!#REF!</definedName>
    <definedName name="外部資料_171" localSheetId="7">PKA!#REF!</definedName>
    <definedName name="外部資料_171" localSheetId="8">PKB!#REF!</definedName>
    <definedName name="外部資料_171" localSheetId="9">PKC!#REF!</definedName>
    <definedName name="外部資料_171" localSheetId="13">PSR!#REF!</definedName>
    <definedName name="外部資料_171" localSheetId="2">紅綠燈!#REF!</definedName>
    <definedName name="外部資料_171" localSheetId="10">福邦!#REF!</definedName>
    <definedName name="外部資料_1710" localSheetId="2">紅綠燈!#REF!</definedName>
    <definedName name="外部資料_1711" localSheetId="2">紅綠燈!#REF!</definedName>
    <definedName name="外部資料_1712" localSheetId="2">紅綠燈!#REF!</definedName>
    <definedName name="外部資料_1714" localSheetId="2">紅綠燈!#REF!</definedName>
    <definedName name="外部資料_1715" localSheetId="2">紅綠燈!#REF!</definedName>
    <definedName name="外部資料_1716" localSheetId="2">紅綠燈!#REF!</definedName>
    <definedName name="外部資料_1718" localSheetId="2">紅綠燈!#REF!</definedName>
    <definedName name="外部資料_1719" localSheetId="2">紅綠燈!#REF!</definedName>
    <definedName name="外部資料_172" localSheetId="7">PKA!#REF!</definedName>
    <definedName name="外部資料_172" localSheetId="8">PKB!#REF!</definedName>
    <definedName name="外部資料_172" localSheetId="9">PKC!#REF!</definedName>
    <definedName name="外部資料_172" localSheetId="13">PSR!#REF!</definedName>
    <definedName name="外部資料_172" localSheetId="10">福邦!#REF!</definedName>
    <definedName name="外部資料_1720" localSheetId="2">紅綠燈!#REF!</definedName>
    <definedName name="外部資料_1722" localSheetId="2">紅綠燈!#REF!</definedName>
    <definedName name="外部資料_1723" localSheetId="2">紅綠燈!#REF!</definedName>
    <definedName name="外部資料_1724" localSheetId="2">紅綠燈!#REF!</definedName>
    <definedName name="外部資料_1726" localSheetId="2">紅綠燈!#REF!</definedName>
    <definedName name="外部資料_1727" localSheetId="2">紅綠燈!#REF!</definedName>
    <definedName name="外部資料_1729" localSheetId="2">紅綠燈!#REF!</definedName>
    <definedName name="外部資料_173" localSheetId="7">PKA!#REF!</definedName>
    <definedName name="外部資料_173" localSheetId="8">PKB!#REF!</definedName>
    <definedName name="外部資料_173" localSheetId="9">PKC!#REF!</definedName>
    <definedName name="外部資料_173" localSheetId="13">PSR!#REF!</definedName>
    <definedName name="外部資料_173" localSheetId="2">紅綠燈!#REF!</definedName>
    <definedName name="外部資料_173" localSheetId="10">福邦!#REF!</definedName>
    <definedName name="外部資料_1730" localSheetId="2">紅綠燈!#REF!</definedName>
    <definedName name="外部資料_1732" localSheetId="2">紅綠燈!#REF!</definedName>
    <definedName name="外部資料_1733" localSheetId="2">紅綠燈!#REF!</definedName>
    <definedName name="外部資料_1734" localSheetId="2">紅綠燈!#REF!</definedName>
    <definedName name="外部資料_1736" localSheetId="2">紅綠燈!#REF!</definedName>
    <definedName name="外部資料_1737" localSheetId="2">紅綠燈!#REF!</definedName>
    <definedName name="外部資料_1738" localSheetId="2">紅綠燈!#REF!</definedName>
    <definedName name="外部資料_174" localSheetId="7">PKA!#REF!</definedName>
    <definedName name="外部資料_174" localSheetId="8">PKB!#REF!</definedName>
    <definedName name="外部資料_174" localSheetId="9">PKC!#REF!</definedName>
    <definedName name="外部資料_174" localSheetId="13">PSR!#REF!</definedName>
    <definedName name="外部資料_174" localSheetId="2">紅綠燈!#REF!</definedName>
    <definedName name="外部資料_174" localSheetId="10">福邦!#REF!</definedName>
    <definedName name="外部資料_1740" localSheetId="2">紅綠燈!#REF!</definedName>
    <definedName name="外部資料_1741" localSheetId="2">紅綠燈!#REF!</definedName>
    <definedName name="外部資料_1742" localSheetId="2">紅綠燈!#REF!</definedName>
    <definedName name="外部資料_1744" localSheetId="2">紅綠燈!#REF!</definedName>
    <definedName name="外部資料_1745" localSheetId="2">紅綠燈!#REF!</definedName>
    <definedName name="外部資料_1746" localSheetId="2">紅綠燈!#REF!</definedName>
    <definedName name="外部資料_1748" localSheetId="2">紅綠燈!#REF!</definedName>
    <definedName name="外部資料_1749" localSheetId="2">紅綠燈!#REF!</definedName>
    <definedName name="外部資料_175" localSheetId="7">PKA!#REF!</definedName>
    <definedName name="外部資料_175" localSheetId="8">PKB!#REF!</definedName>
    <definedName name="外部資料_175" localSheetId="9">PKC!#REF!</definedName>
    <definedName name="外部資料_175" localSheetId="13">PSR!#REF!</definedName>
    <definedName name="外部資料_175" localSheetId="2">紅綠燈!#REF!</definedName>
    <definedName name="外部資料_175" localSheetId="10">福邦!#REF!</definedName>
    <definedName name="外部資料_1750" localSheetId="2">紅綠燈!#REF!</definedName>
    <definedName name="外部資料_1752" localSheetId="2">紅綠燈!#REF!</definedName>
    <definedName name="外部資料_1753" localSheetId="2">紅綠燈!#REF!</definedName>
    <definedName name="外部資料_1754" localSheetId="2">紅綠燈!#REF!</definedName>
    <definedName name="外部資料_1756" localSheetId="2">紅綠燈!#REF!</definedName>
    <definedName name="外部資料_1757" localSheetId="2">紅綠燈!#REF!</definedName>
    <definedName name="外部資料_1759" localSheetId="2">紅綠燈!#REF!</definedName>
    <definedName name="外部資料_176" localSheetId="7">PKA!#REF!</definedName>
    <definedName name="外部資料_176" localSheetId="8">PKB!#REF!</definedName>
    <definedName name="外部資料_176" localSheetId="9">PKC!#REF!</definedName>
    <definedName name="外部資料_176" localSheetId="13">PSR!#REF!</definedName>
    <definedName name="外部資料_176" localSheetId="10">福邦!#REF!</definedName>
    <definedName name="外部資料_1760" localSheetId="2">紅綠燈!#REF!</definedName>
    <definedName name="外部資料_1761" localSheetId="2">紅綠燈!#REF!</definedName>
    <definedName name="外部資料_1763" localSheetId="2">紅綠燈!#REF!</definedName>
    <definedName name="外部資料_1764" localSheetId="2">紅綠燈!#REF!</definedName>
    <definedName name="外部資料_1765" localSheetId="2">紅綠燈!#REF!</definedName>
    <definedName name="外部資料_1767" localSheetId="2">紅綠燈!#REF!</definedName>
    <definedName name="外部資料_1768" localSheetId="2">紅綠燈!#REF!</definedName>
    <definedName name="外部資料_1769" localSheetId="2">紅綠燈!#REF!</definedName>
    <definedName name="外部資料_177" localSheetId="7">PKA!#REF!</definedName>
    <definedName name="外部資料_177" localSheetId="8">PKB!#REF!</definedName>
    <definedName name="外部資料_177" localSheetId="9">PKC!#REF!</definedName>
    <definedName name="外部資料_177" localSheetId="13">PSR!#REF!</definedName>
    <definedName name="外部資料_177" localSheetId="2">紅綠燈!#REF!</definedName>
    <definedName name="外部資料_177" localSheetId="10">福邦!#REF!</definedName>
    <definedName name="外部資料_1771" localSheetId="2">紅綠燈!#REF!</definedName>
    <definedName name="外部資料_1772" localSheetId="2">紅綠燈!#REF!</definedName>
    <definedName name="外部資料_1773" localSheetId="2">紅綠燈!#REF!</definedName>
    <definedName name="外部資料_1775" localSheetId="2">紅綠燈!#REF!</definedName>
    <definedName name="外部資料_1776" localSheetId="2">紅綠燈!#REF!</definedName>
    <definedName name="外部資料_1777" localSheetId="2">紅綠燈!#REF!</definedName>
    <definedName name="外部資料_1779" localSheetId="2">紅綠燈!#REF!</definedName>
    <definedName name="外部資料_178" localSheetId="7">PKA!#REF!</definedName>
    <definedName name="外部資料_178" localSheetId="8">PKB!#REF!</definedName>
    <definedName name="外部資料_178" localSheetId="9">PKC!#REF!</definedName>
    <definedName name="外部資料_178" localSheetId="13">PSR!#REF!</definedName>
    <definedName name="外部資料_178" localSheetId="2">紅綠燈!#REF!</definedName>
    <definedName name="外部資料_178" localSheetId="10">福邦!#REF!</definedName>
    <definedName name="外部資料_1780" localSheetId="2">紅綠燈!#REF!</definedName>
    <definedName name="外部資料_1781" localSheetId="2">紅綠燈!#REF!</definedName>
    <definedName name="外部資料_1783" localSheetId="2">紅綠燈!#REF!</definedName>
    <definedName name="外部資料_1784" localSheetId="2">紅綠燈!#REF!</definedName>
    <definedName name="外部資料_1785" localSheetId="2">紅綠燈!#REF!</definedName>
    <definedName name="外部資料_1787" localSheetId="2">紅綠燈!#REF!</definedName>
    <definedName name="外部資料_1788" localSheetId="2">紅綠燈!#REF!</definedName>
    <definedName name="外部資料_1789" localSheetId="2">紅綠燈!#REF!</definedName>
    <definedName name="外部資料_179" localSheetId="7">PKA!#REF!</definedName>
    <definedName name="外部資料_179" localSheetId="8">PKB!#REF!</definedName>
    <definedName name="外部資料_179" localSheetId="9">PKC!#REF!</definedName>
    <definedName name="外部資料_179" localSheetId="13">PSR!#REF!</definedName>
    <definedName name="外部資料_179" localSheetId="2">紅綠燈!#REF!</definedName>
    <definedName name="外部資料_179" localSheetId="10">福邦!#REF!</definedName>
    <definedName name="外部資料_1791" localSheetId="2">紅綠燈!#REF!</definedName>
    <definedName name="外部資料_1792" localSheetId="2">紅綠燈!#REF!</definedName>
    <definedName name="外部資料_1793" localSheetId="2">紅綠燈!#REF!</definedName>
    <definedName name="外部資料_1795" localSheetId="2">紅綠燈!#REF!</definedName>
    <definedName name="外部資料_1796" localSheetId="2">紅綠燈!#REF!</definedName>
    <definedName name="外部資料_1797" localSheetId="2">紅綠燈!#REF!</definedName>
    <definedName name="外部資料_1799" localSheetId="2">紅綠燈!#REF!</definedName>
    <definedName name="外部資料_18" localSheetId="7">PKA!#REF!</definedName>
    <definedName name="外部資料_18" localSheetId="8">PKB!#REF!</definedName>
    <definedName name="外部資料_18" localSheetId="9">PKC!#REF!</definedName>
    <definedName name="外部資料_18" localSheetId="13">PSR!#REF!</definedName>
    <definedName name="外部資料_18" localSheetId="2">紅綠燈!#REF!</definedName>
    <definedName name="外部資料_18" localSheetId="3">評比系統!#REF!</definedName>
    <definedName name="外部資料_18" localSheetId="10">福邦!#REF!</definedName>
    <definedName name="外部資料_18" localSheetId="4">篩股系統!#REF!</definedName>
    <definedName name="外部資料_18" localSheetId="11">營收搶先報!#REF!</definedName>
    <definedName name="外部資料_180" localSheetId="7">PKA!#REF!</definedName>
    <definedName name="外部資料_180" localSheetId="8">PKB!#REF!</definedName>
    <definedName name="外部資料_180" localSheetId="9">PKC!#REF!</definedName>
    <definedName name="外部資料_180" localSheetId="13">PSR!#REF!</definedName>
    <definedName name="外部資料_180" localSheetId="10">福邦!#REF!</definedName>
    <definedName name="外部資料_1800" localSheetId="2">紅綠燈!#REF!</definedName>
    <definedName name="外部資料_1801" localSheetId="2">紅綠燈!#REF!</definedName>
    <definedName name="外部資料_1803" localSheetId="2">紅綠燈!#REF!</definedName>
    <definedName name="外部資料_1804" localSheetId="2">紅綠燈!#REF!</definedName>
    <definedName name="外部資料_1805" localSheetId="2">紅綠燈!#REF!</definedName>
    <definedName name="外部資料_1807" localSheetId="2">紅綠燈!#REF!</definedName>
    <definedName name="外部資料_1808" localSheetId="2">紅綠燈!#REF!</definedName>
    <definedName name="外部資料_1809" localSheetId="2">紅綠燈!#REF!</definedName>
    <definedName name="外部資料_181" localSheetId="7">PKA!#REF!</definedName>
    <definedName name="外部資料_181" localSheetId="8">PKB!#REF!</definedName>
    <definedName name="外部資料_181" localSheetId="9">PKC!#REF!</definedName>
    <definedName name="外部資料_181" localSheetId="13">PSR!#REF!</definedName>
    <definedName name="外部資料_181" localSheetId="2">紅綠燈!#REF!</definedName>
    <definedName name="外部資料_181" localSheetId="10">福邦!#REF!</definedName>
    <definedName name="外部資料_1811" localSheetId="2">紅綠燈!#REF!</definedName>
    <definedName name="外部資料_1812" localSheetId="2">紅綠燈!#REF!</definedName>
    <definedName name="外部資料_1813" localSheetId="2">紅綠燈!#REF!</definedName>
    <definedName name="外部資料_1815" localSheetId="2">紅綠燈!#REF!</definedName>
    <definedName name="外部資料_1816" localSheetId="2">紅綠燈!#REF!</definedName>
    <definedName name="外部資料_1817" localSheetId="2">紅綠燈!#REF!</definedName>
    <definedName name="外部資料_1819" localSheetId="2">紅綠燈!#REF!</definedName>
    <definedName name="外部資料_182" localSheetId="7">PKA!#REF!</definedName>
    <definedName name="外部資料_182" localSheetId="8">PKB!#REF!</definedName>
    <definedName name="外部資料_182" localSheetId="9">PKC!#REF!</definedName>
    <definedName name="外部資料_182" localSheetId="13">PSR!#REF!</definedName>
    <definedName name="外部資料_182" localSheetId="2">紅綠燈!#REF!</definedName>
    <definedName name="外部資料_182" localSheetId="10">福邦!#REF!</definedName>
    <definedName name="外部資料_1820" localSheetId="2">紅綠燈!#REF!</definedName>
    <definedName name="外部資料_1821" localSheetId="2">紅綠燈!#REF!</definedName>
    <definedName name="外部資料_1823" localSheetId="2">紅綠燈!#REF!</definedName>
    <definedName name="外部資料_1824" localSheetId="2">紅綠燈!#REF!</definedName>
    <definedName name="外部資料_1825" localSheetId="2">紅綠燈!#REF!</definedName>
    <definedName name="外部資料_1827" localSheetId="2">紅綠燈!#REF!</definedName>
    <definedName name="外部資料_1828" localSheetId="2">紅綠燈!#REF!</definedName>
    <definedName name="外部資料_1829" localSheetId="2">紅綠燈!#REF!</definedName>
    <definedName name="外部資料_183" localSheetId="7">PKA!#REF!</definedName>
    <definedName name="外部資料_183" localSheetId="8">PKB!#REF!</definedName>
    <definedName name="外部資料_183" localSheetId="9">PKC!#REF!</definedName>
    <definedName name="外部資料_183" localSheetId="13">PSR!#REF!</definedName>
    <definedName name="外部資料_183" localSheetId="2">紅綠燈!#REF!</definedName>
    <definedName name="外部資料_183" localSheetId="10">福邦!#REF!</definedName>
    <definedName name="外部資料_1831" localSheetId="2">紅綠燈!#REF!</definedName>
    <definedName name="外部資料_1832" localSheetId="2">紅綠燈!#REF!</definedName>
    <definedName name="外部資料_1833" localSheetId="2">紅綠燈!#REF!</definedName>
    <definedName name="外部資料_1835" localSheetId="2">紅綠燈!#REF!</definedName>
    <definedName name="外部資料_1836" localSheetId="2">紅綠燈!#REF!</definedName>
    <definedName name="外部資料_1837" localSheetId="2">紅綠燈!#REF!</definedName>
    <definedName name="外部資料_1839" localSheetId="2">紅綠燈!#REF!</definedName>
    <definedName name="外部資料_184" localSheetId="7">PKA!#REF!</definedName>
    <definedName name="外部資料_184" localSheetId="8">PKB!#REF!</definedName>
    <definedName name="外部資料_184" localSheetId="9">PKC!#REF!</definedName>
    <definedName name="外部資料_184" localSheetId="13">PSR!#REF!</definedName>
    <definedName name="外部資料_184" localSheetId="10">福邦!#REF!</definedName>
    <definedName name="外部資料_1840" localSheetId="2">紅綠燈!#REF!</definedName>
    <definedName name="外部資料_1841" localSheetId="2">紅綠燈!#REF!</definedName>
    <definedName name="外部資料_1843" localSheetId="2">紅綠燈!#REF!</definedName>
    <definedName name="外部資料_1844" localSheetId="2">紅綠燈!#REF!</definedName>
    <definedName name="外部資料_1845" localSheetId="2">紅綠燈!#REF!</definedName>
    <definedName name="外部資料_1847" localSheetId="2">紅綠燈!#REF!</definedName>
    <definedName name="外部資料_1848" localSheetId="2">紅綠燈!#REF!</definedName>
    <definedName name="外部資料_1849" localSheetId="2">紅綠燈!#REF!</definedName>
    <definedName name="外部資料_185" localSheetId="7">PKA!#REF!</definedName>
    <definedName name="外部資料_185" localSheetId="8">PKB!#REF!</definedName>
    <definedName name="外部資料_185" localSheetId="9">PKC!#REF!</definedName>
    <definedName name="外部資料_185" localSheetId="13">PSR!#REF!</definedName>
    <definedName name="外部資料_185" localSheetId="2">紅綠燈!#REF!</definedName>
    <definedName name="外部資料_185" localSheetId="10">福邦!#REF!</definedName>
    <definedName name="外部資料_1851" localSheetId="2">紅綠燈!#REF!</definedName>
    <definedName name="外部資料_1852" localSheetId="2">紅綠燈!#REF!</definedName>
    <definedName name="外部資料_1853" localSheetId="2">紅綠燈!#REF!</definedName>
    <definedName name="外部資料_1855" localSheetId="2">紅綠燈!#REF!</definedName>
    <definedName name="外部資料_1856" localSheetId="2">紅綠燈!#REF!</definedName>
    <definedName name="外部資料_1857" localSheetId="2">紅綠燈!#REF!</definedName>
    <definedName name="外部資料_1859" localSheetId="2">紅綠燈!#REF!</definedName>
    <definedName name="外部資料_186" localSheetId="7">PKA!#REF!</definedName>
    <definedName name="外部資料_186" localSheetId="8">PKB!#REF!</definedName>
    <definedName name="外部資料_186" localSheetId="9">PKC!#REF!</definedName>
    <definedName name="外部資料_186" localSheetId="13">PSR!#REF!</definedName>
    <definedName name="外部資料_186" localSheetId="2">紅綠燈!#REF!</definedName>
    <definedName name="外部資料_186" localSheetId="10">福邦!#REF!</definedName>
    <definedName name="外部資料_1860" localSheetId="2">紅綠燈!#REF!</definedName>
    <definedName name="外部資料_1861" localSheetId="2">紅綠燈!#REF!</definedName>
    <definedName name="外部資料_1863" localSheetId="2">紅綠燈!#REF!</definedName>
    <definedName name="外部資料_1864" localSheetId="2">紅綠燈!#REF!</definedName>
    <definedName name="外部資料_1865" localSheetId="2">紅綠燈!#REF!</definedName>
    <definedName name="外部資料_1867" localSheetId="2">紅綠燈!#REF!</definedName>
    <definedName name="外部資料_1868" localSheetId="2">紅綠燈!#REF!</definedName>
    <definedName name="外部資料_1869" localSheetId="2">紅綠燈!#REF!</definedName>
    <definedName name="外部資料_187" localSheetId="7">PKA!#REF!</definedName>
    <definedName name="外部資料_187" localSheetId="8">PKB!#REF!</definedName>
    <definedName name="外部資料_187" localSheetId="9">PKC!#REF!</definedName>
    <definedName name="外部資料_187" localSheetId="13">PSR!#REF!</definedName>
    <definedName name="外部資料_187" localSheetId="2">紅綠燈!#REF!</definedName>
    <definedName name="外部資料_187" localSheetId="10">福邦!#REF!</definedName>
    <definedName name="外部資料_1871" localSheetId="2">紅綠燈!#REF!</definedName>
    <definedName name="外部資料_1872" localSheetId="2">紅綠燈!#REF!</definedName>
    <definedName name="外部資料_1873" localSheetId="2">紅綠燈!#REF!</definedName>
    <definedName name="外部資料_1875" localSheetId="2">紅綠燈!#REF!</definedName>
    <definedName name="外部資料_1876" localSheetId="2">紅綠燈!#REF!</definedName>
    <definedName name="外部資料_1877" localSheetId="2">紅綠燈!#REF!</definedName>
    <definedName name="外部資料_1879" localSheetId="2">紅綠燈!#REF!</definedName>
    <definedName name="外部資料_188" localSheetId="7">PKA!#REF!</definedName>
    <definedName name="外部資料_188" localSheetId="8">PKB!#REF!</definedName>
    <definedName name="外部資料_188" localSheetId="9">PKC!#REF!</definedName>
    <definedName name="外部資料_188" localSheetId="13">PSR!#REF!</definedName>
    <definedName name="外部資料_188" localSheetId="10">福邦!#REF!</definedName>
    <definedName name="外部資料_1880" localSheetId="2">紅綠燈!#REF!</definedName>
    <definedName name="外部資料_1881" localSheetId="2">紅綠燈!#REF!</definedName>
    <definedName name="外部資料_1883" localSheetId="2">紅綠燈!#REF!</definedName>
    <definedName name="外部資料_1884" localSheetId="2">紅綠燈!#REF!</definedName>
    <definedName name="外部資料_1885" localSheetId="2">紅綠燈!#REF!</definedName>
    <definedName name="外部資料_1887" localSheetId="2">紅綠燈!#REF!</definedName>
    <definedName name="外部資料_1888" localSheetId="2">紅綠燈!#REF!</definedName>
    <definedName name="外部資料_1889" localSheetId="2">紅綠燈!#REF!</definedName>
    <definedName name="外部資料_189" localSheetId="7">PKA!#REF!</definedName>
    <definedName name="外部資料_189" localSheetId="8">PKB!#REF!</definedName>
    <definedName name="外部資料_189" localSheetId="9">PKC!#REF!</definedName>
    <definedName name="外部資料_189" localSheetId="13">PSR!#REF!</definedName>
    <definedName name="外部資料_189" localSheetId="2">紅綠燈!#REF!</definedName>
    <definedName name="外部資料_189" localSheetId="10">福邦!#REF!</definedName>
    <definedName name="外部資料_1891" localSheetId="2">紅綠燈!#REF!</definedName>
    <definedName name="外部資料_1892" localSheetId="2">紅綠燈!#REF!</definedName>
    <definedName name="外部資料_1893" localSheetId="2">紅綠燈!#REF!</definedName>
    <definedName name="外部資料_1895" localSheetId="2">紅綠燈!#REF!</definedName>
    <definedName name="外部資料_1896" localSheetId="2">紅綠燈!#REF!</definedName>
    <definedName name="外部資料_1897" localSheetId="2">紅綠燈!#REF!</definedName>
    <definedName name="外部資料_1899" localSheetId="2">紅綠燈!#REF!</definedName>
    <definedName name="外部資料_19" localSheetId="7">PKA!#REF!</definedName>
    <definedName name="外部資料_19" localSheetId="8">PKB!#REF!</definedName>
    <definedName name="外部資料_19" localSheetId="9">PKC!#REF!</definedName>
    <definedName name="外部資料_19" localSheetId="13">PSR!#REF!</definedName>
    <definedName name="外部資料_19" localSheetId="2">紅綠燈!#REF!</definedName>
    <definedName name="外部資料_19" localSheetId="3">評比系統!#REF!</definedName>
    <definedName name="外部資料_19" localSheetId="10">福邦!#REF!</definedName>
    <definedName name="外部資料_19" localSheetId="4">篩股系統!#REF!</definedName>
    <definedName name="外部資料_19" localSheetId="11">營收搶先報!#REF!</definedName>
    <definedName name="外部資料_190" localSheetId="7">PKA!#REF!</definedName>
    <definedName name="外部資料_190" localSheetId="8">PKB!#REF!</definedName>
    <definedName name="外部資料_190" localSheetId="9">PKC!#REF!</definedName>
    <definedName name="外部資料_190" localSheetId="13">PSR!#REF!</definedName>
    <definedName name="外部資料_190" localSheetId="2">紅綠燈!#REF!</definedName>
    <definedName name="外部資料_190" localSheetId="10">福邦!#REF!</definedName>
    <definedName name="外部資料_1900" localSheetId="2">紅綠燈!#REF!</definedName>
    <definedName name="外部資料_1901" localSheetId="2">紅綠燈!#REF!</definedName>
    <definedName name="外部資料_1903" localSheetId="2">紅綠燈!#REF!</definedName>
    <definedName name="外部資料_1904" localSheetId="2">紅綠燈!#REF!</definedName>
    <definedName name="外部資料_1905" localSheetId="2">紅綠燈!#REF!</definedName>
    <definedName name="外部資料_1907" localSheetId="2">紅綠燈!#REF!</definedName>
    <definedName name="外部資料_1908" localSheetId="2">紅綠燈!#REF!</definedName>
    <definedName name="外部資料_1909" localSheetId="2">紅綠燈!#REF!</definedName>
    <definedName name="外部資料_191" localSheetId="7">PKA!#REF!</definedName>
    <definedName name="外部資料_191" localSheetId="8">PKB!#REF!</definedName>
    <definedName name="外部資料_191" localSheetId="9">PKC!#REF!</definedName>
    <definedName name="外部資料_191" localSheetId="13">PSR!#REF!</definedName>
    <definedName name="外部資料_191" localSheetId="2">紅綠燈!#REF!</definedName>
    <definedName name="外部資料_191" localSheetId="10">福邦!#REF!</definedName>
    <definedName name="外部資料_1911" localSheetId="2">紅綠燈!#REF!</definedName>
    <definedName name="外部資料_1912" localSheetId="2">紅綠燈!#REF!</definedName>
    <definedName name="外部資料_1914" localSheetId="2">紅綠燈!#REF!</definedName>
    <definedName name="外部資料_1915" localSheetId="2">紅綠燈!#REF!</definedName>
    <definedName name="外部資料_1917" localSheetId="2">紅綠燈!#REF!</definedName>
    <definedName name="外部資料_1918" localSheetId="2">紅綠燈!#REF!</definedName>
    <definedName name="外部資料_1919" localSheetId="2">紅綠燈!#REF!</definedName>
    <definedName name="外部資料_192" localSheetId="7">PKA!#REF!</definedName>
    <definedName name="外部資料_192" localSheetId="8">PKB!#REF!</definedName>
    <definedName name="外部資料_192" localSheetId="9">PKC!#REF!</definedName>
    <definedName name="外部資料_192" localSheetId="13">PSR!#REF!</definedName>
    <definedName name="外部資料_192" localSheetId="10">福邦!#REF!</definedName>
    <definedName name="外部資料_1921" localSheetId="2">紅綠燈!#REF!</definedName>
    <definedName name="外部資料_1922" localSheetId="2">紅綠燈!#REF!</definedName>
    <definedName name="外部資料_1923" localSheetId="2">紅綠燈!#REF!</definedName>
    <definedName name="外部資料_1925" localSheetId="2">紅綠燈!#REF!</definedName>
    <definedName name="外部資料_1926" localSheetId="2">紅綠燈!#REF!</definedName>
    <definedName name="外部資料_1927" localSheetId="2">紅綠燈!#REF!</definedName>
    <definedName name="外部資料_1929" localSheetId="2">紅綠燈!#REF!</definedName>
    <definedName name="外部資料_193" localSheetId="7">PKA!#REF!</definedName>
    <definedName name="外部資料_193" localSheetId="8">PKB!#REF!</definedName>
    <definedName name="外部資料_193" localSheetId="9">PKC!#REF!</definedName>
    <definedName name="外部資料_193" localSheetId="13">PSR!#REF!</definedName>
    <definedName name="外部資料_193" localSheetId="2">紅綠燈!#REF!</definedName>
    <definedName name="外部資料_193" localSheetId="10">福邦!#REF!</definedName>
    <definedName name="外部資料_1930" localSheetId="2">紅綠燈!#REF!</definedName>
    <definedName name="外部資料_1931" localSheetId="2">紅綠燈!#REF!</definedName>
    <definedName name="外部資料_1933" localSheetId="2">紅綠燈!#REF!</definedName>
    <definedName name="外部資料_1934" localSheetId="2">紅綠燈!#REF!</definedName>
    <definedName name="外部資料_1935" localSheetId="2">紅綠燈!#REF!</definedName>
    <definedName name="外部資料_1937" localSheetId="2">紅綠燈!#REF!</definedName>
    <definedName name="外部資料_1938" localSheetId="2">紅綠燈!#REF!</definedName>
    <definedName name="外部資料_1939" localSheetId="2">紅綠燈!#REF!</definedName>
    <definedName name="外部資料_194" localSheetId="7">PKA!#REF!</definedName>
    <definedName name="外部資料_194" localSheetId="8">PKB!#REF!</definedName>
    <definedName name="外部資料_194" localSheetId="9">PKC!#REF!</definedName>
    <definedName name="外部資料_194" localSheetId="13">PSR!#REF!</definedName>
    <definedName name="外部資料_194" localSheetId="2">紅綠燈!#REF!</definedName>
    <definedName name="外部資料_194" localSheetId="10">福邦!#REF!</definedName>
    <definedName name="外部資料_1941" localSheetId="2">紅綠燈!#REF!</definedName>
    <definedName name="外部資料_1942" localSheetId="2">紅綠燈!#REF!</definedName>
    <definedName name="外部資料_1943" localSheetId="2">紅綠燈!#REF!</definedName>
    <definedName name="外部資料_1945" localSheetId="2">紅綠燈!#REF!</definedName>
    <definedName name="外部資料_1946" localSheetId="2">紅綠燈!#REF!</definedName>
    <definedName name="外部資料_1947" localSheetId="2">紅綠燈!#REF!</definedName>
    <definedName name="外部資料_1949" localSheetId="2">紅綠燈!#REF!</definedName>
    <definedName name="外部資料_195" localSheetId="7">PKA!#REF!</definedName>
    <definedName name="外部資料_195" localSheetId="8">PKB!#REF!</definedName>
    <definedName name="外部資料_195" localSheetId="9">PKC!#REF!</definedName>
    <definedName name="外部資料_195" localSheetId="13">PSR!#REF!</definedName>
    <definedName name="外部資料_195" localSheetId="10">福邦!#REF!</definedName>
    <definedName name="外部資料_1950" localSheetId="2">紅綠燈!#REF!</definedName>
    <definedName name="外部資料_1951" localSheetId="2">紅綠燈!#REF!</definedName>
    <definedName name="外部資料_1953" localSheetId="2">紅綠燈!#REF!</definedName>
    <definedName name="外部資料_1954" localSheetId="2">紅綠燈!#REF!</definedName>
    <definedName name="外部資料_1956" localSheetId="2">紅綠燈!#REF!</definedName>
    <definedName name="外部資料_1957" localSheetId="2">紅綠燈!#REF!</definedName>
    <definedName name="外部資料_1958" localSheetId="2">紅綠燈!#REF!</definedName>
    <definedName name="外部資料_196" localSheetId="7">PKA!#REF!</definedName>
    <definedName name="外部資料_196" localSheetId="8">PKB!#REF!</definedName>
    <definedName name="外部資料_196" localSheetId="9">PKC!#REF!</definedName>
    <definedName name="外部資料_196" localSheetId="13">PSR!#REF!</definedName>
    <definedName name="外部資料_196" localSheetId="2">紅綠燈!#REF!</definedName>
    <definedName name="外部資料_196" localSheetId="10">福邦!#REF!</definedName>
    <definedName name="外部資料_1960" localSheetId="2">紅綠燈!#REF!</definedName>
    <definedName name="外部資料_1961" localSheetId="2">紅綠燈!#REF!</definedName>
    <definedName name="外部資料_1962" localSheetId="2">紅綠燈!#REF!</definedName>
    <definedName name="外部資料_1964" localSheetId="2">紅綠燈!#REF!</definedName>
    <definedName name="外部資料_1965" localSheetId="2">紅綠燈!#REF!</definedName>
    <definedName name="外部資料_1966" localSheetId="2">紅綠燈!#REF!</definedName>
    <definedName name="外部資料_1968" localSheetId="2">紅綠燈!#REF!</definedName>
    <definedName name="外部資料_1969" localSheetId="2">紅綠燈!#REF!</definedName>
    <definedName name="外部資料_197" localSheetId="7">PKA!#REF!</definedName>
    <definedName name="外部資料_197" localSheetId="8">PKB!#REF!</definedName>
    <definedName name="外部資料_197" localSheetId="9">PKC!#REF!</definedName>
    <definedName name="外部資料_197" localSheetId="13">PSR!#REF!</definedName>
    <definedName name="外部資料_197" localSheetId="2">紅綠燈!#REF!</definedName>
    <definedName name="外部資料_197" localSheetId="10">福邦!#REF!</definedName>
    <definedName name="外部資料_1970" localSheetId="2">紅綠燈!#REF!</definedName>
    <definedName name="外部資料_1972" localSheetId="2">紅綠燈!#REF!</definedName>
    <definedName name="外部資料_1973" localSheetId="2">紅綠燈!#REF!</definedName>
    <definedName name="外部資料_1974" localSheetId="2">紅綠燈!#REF!</definedName>
    <definedName name="外部資料_1976" localSheetId="2">紅綠燈!#REF!</definedName>
    <definedName name="外部資料_1977" localSheetId="2">紅綠燈!#REF!</definedName>
    <definedName name="外部資料_1978" localSheetId="2">紅綠燈!#REF!</definedName>
    <definedName name="外部資料_198" localSheetId="7">PKA!#REF!</definedName>
    <definedName name="外部資料_198" localSheetId="8">PKB!#REF!</definedName>
    <definedName name="外部資料_198" localSheetId="9">PKC!#REF!</definedName>
    <definedName name="外部資料_198" localSheetId="13">PSR!#REF!</definedName>
    <definedName name="外部資料_198" localSheetId="2">紅綠燈!#REF!</definedName>
    <definedName name="外部資料_198" localSheetId="10">福邦!#REF!</definedName>
    <definedName name="外部資料_1980" localSheetId="2">紅綠燈!#REF!</definedName>
    <definedName name="外部資料_1981" localSheetId="2">紅綠燈!#REF!</definedName>
    <definedName name="外部資料_1982" localSheetId="2">紅綠燈!#REF!</definedName>
    <definedName name="外部資料_1984" localSheetId="2">紅綠燈!#REF!</definedName>
    <definedName name="外部資料_1985" localSheetId="2">紅綠燈!#REF!</definedName>
    <definedName name="外部資料_1986" localSheetId="2">紅綠燈!#REF!</definedName>
    <definedName name="外部資料_1988" localSheetId="2">紅綠燈!#REF!</definedName>
    <definedName name="外部資料_1989" localSheetId="2">紅綠燈!#REF!</definedName>
    <definedName name="外部資料_199" localSheetId="7">PKA!#REF!</definedName>
    <definedName name="外部資料_199" localSheetId="8">PKB!#REF!</definedName>
    <definedName name="外部資料_199" localSheetId="9">PKC!#REF!</definedName>
    <definedName name="外部資料_199" localSheetId="13">PSR!#REF!</definedName>
    <definedName name="外部資料_199" localSheetId="10">福邦!#REF!</definedName>
    <definedName name="外部資料_1990" localSheetId="2">紅綠燈!#REF!</definedName>
    <definedName name="外部資料_1992" localSheetId="2">紅綠燈!#REF!</definedName>
    <definedName name="外部資料_1993" localSheetId="2">紅綠燈!#REF!</definedName>
    <definedName name="外部資料_1994" localSheetId="2">紅綠燈!#REF!</definedName>
    <definedName name="外部資料_1996" localSheetId="2">紅綠燈!#REF!</definedName>
    <definedName name="外部資料_1997" localSheetId="2">紅綠燈!#REF!</definedName>
    <definedName name="外部資料_1998" localSheetId="2">紅綠燈!#REF!</definedName>
    <definedName name="外部資料_2" localSheetId="7">PKA!#REF!</definedName>
    <definedName name="外部資料_2" localSheetId="8">PKB!#REF!</definedName>
    <definedName name="外部資料_2" localSheetId="9">PKC!#REF!</definedName>
    <definedName name="外部資料_2" localSheetId="13">PSR!#REF!</definedName>
    <definedName name="外部資料_2" localSheetId="2">紅綠燈!#REF!</definedName>
    <definedName name="外部資料_2" localSheetId="3">評比系統!#REF!</definedName>
    <definedName name="外部資料_2" localSheetId="10">福邦!#REF!</definedName>
    <definedName name="外部資料_2" localSheetId="4">篩股系統!#REF!</definedName>
    <definedName name="外部資料_2" localSheetId="11">營收搶先報!#REF!</definedName>
    <definedName name="外部資料_20" localSheetId="7">PKA!#REF!</definedName>
    <definedName name="外部資料_20" localSheetId="8">PKB!#REF!</definedName>
    <definedName name="外部資料_20" localSheetId="9">PKC!#REF!</definedName>
    <definedName name="外部資料_20" localSheetId="13">PSR!#REF!</definedName>
    <definedName name="外部資料_20" localSheetId="2">紅綠燈!#REF!</definedName>
    <definedName name="外部資料_20" localSheetId="3">評比系統!#REF!</definedName>
    <definedName name="外部資料_20" localSheetId="10">福邦!#REF!</definedName>
    <definedName name="外部資料_20" localSheetId="4">篩股系統!#REF!</definedName>
    <definedName name="外部資料_20" localSheetId="11">營收搶先報!#REF!</definedName>
    <definedName name="外部資料_200" localSheetId="7">PKA!#REF!</definedName>
    <definedName name="外部資料_200" localSheetId="8">PKB!#REF!</definedName>
    <definedName name="外部資料_200" localSheetId="9">PKC!#REF!</definedName>
    <definedName name="外部資料_200" localSheetId="13">PSR!#REF!</definedName>
    <definedName name="外部資料_200" localSheetId="2">紅綠燈!#REF!</definedName>
    <definedName name="外部資料_200" localSheetId="10">福邦!#REF!</definedName>
    <definedName name="外部資料_2000" localSheetId="2">紅綠燈!#REF!</definedName>
    <definedName name="外部資料_2001" localSheetId="2">紅綠燈!#REF!</definedName>
    <definedName name="外部資料_2002" localSheetId="2">紅綠燈!#REF!</definedName>
    <definedName name="外部資料_2004" localSheetId="2">紅綠燈!#REF!</definedName>
    <definedName name="外部資料_2005" localSheetId="2">紅綠燈!#REF!</definedName>
    <definedName name="外部資料_2006" localSheetId="2">紅綠燈!#REF!</definedName>
    <definedName name="外部資料_2008" localSheetId="2">紅綠燈!#REF!</definedName>
    <definedName name="外部資料_2009" localSheetId="2">紅綠燈!#REF!</definedName>
    <definedName name="外部資料_201" localSheetId="7">PKA!#REF!</definedName>
    <definedName name="外部資料_201" localSheetId="8">PKB!#REF!</definedName>
    <definedName name="外部資料_201" localSheetId="9">PKC!#REF!</definedName>
    <definedName name="外部資料_201" localSheetId="13">PSR!#REF!</definedName>
    <definedName name="外部資料_201" localSheetId="2">紅綠燈!#REF!</definedName>
    <definedName name="外部資料_201" localSheetId="10">福邦!#REF!</definedName>
    <definedName name="外部資料_2010" localSheetId="2">紅綠燈!#REF!</definedName>
    <definedName name="外部資料_2012" localSheetId="2">紅綠燈!#REF!</definedName>
    <definedName name="外部資料_2013" localSheetId="2">紅綠燈!#REF!</definedName>
    <definedName name="外部資料_2014" localSheetId="2">紅綠燈!#REF!</definedName>
    <definedName name="外部資料_2016" localSheetId="2">紅綠燈!#REF!</definedName>
    <definedName name="外部資料_2017" localSheetId="2">紅綠燈!#REF!</definedName>
    <definedName name="外部資料_2018" localSheetId="2">紅綠燈!#REF!</definedName>
    <definedName name="外部資料_202" localSheetId="7">PKA!#REF!</definedName>
    <definedName name="外部資料_202" localSheetId="8">PKB!#REF!</definedName>
    <definedName name="外部資料_202" localSheetId="9">PKC!#REF!</definedName>
    <definedName name="外部資料_202" localSheetId="13">PSR!#REF!</definedName>
    <definedName name="外部資料_202" localSheetId="2">紅綠燈!#REF!</definedName>
    <definedName name="外部資料_202" localSheetId="10">福邦!#REF!</definedName>
    <definedName name="外部資料_2020" localSheetId="2">紅綠燈!#REF!</definedName>
    <definedName name="外部資料_2021" localSheetId="2">紅綠燈!#REF!</definedName>
    <definedName name="外部資料_2022" localSheetId="2">紅綠燈!#REF!</definedName>
    <definedName name="外部資料_2024" localSheetId="2">紅綠燈!#REF!</definedName>
    <definedName name="外部資料_2025" localSheetId="2">紅綠燈!#REF!</definedName>
    <definedName name="外部資料_2026" localSheetId="2">紅綠燈!#REF!</definedName>
    <definedName name="外部資料_2028" localSheetId="2">紅綠燈!#REF!</definedName>
    <definedName name="外部資料_2029" localSheetId="2">紅綠燈!#REF!</definedName>
    <definedName name="外部資料_203" localSheetId="7">PKA!#REF!</definedName>
    <definedName name="外部資料_203" localSheetId="8">PKB!#REF!</definedName>
    <definedName name="外部資料_203" localSheetId="9">PKC!#REF!</definedName>
    <definedName name="外部資料_203" localSheetId="13">PSR!#REF!</definedName>
    <definedName name="外部資料_203" localSheetId="10">福邦!#REF!</definedName>
    <definedName name="外部資料_2030" localSheetId="2">紅綠燈!#REF!</definedName>
    <definedName name="外部資料_2032" localSheetId="2">紅綠燈!#REF!</definedName>
    <definedName name="外部資料_2033" localSheetId="2">紅綠燈!#REF!</definedName>
    <definedName name="外部資料_2034" localSheetId="2">紅綠燈!#REF!</definedName>
    <definedName name="外部資料_2036" localSheetId="2">紅綠燈!#REF!</definedName>
    <definedName name="外部資料_2037" localSheetId="2">紅綠燈!#REF!</definedName>
    <definedName name="外部資料_2038" localSheetId="2">紅綠燈!#REF!</definedName>
    <definedName name="外部資料_204" localSheetId="7">PKA!#REF!</definedName>
    <definedName name="外部資料_204" localSheetId="8">PKB!#REF!</definedName>
    <definedName name="外部資料_204" localSheetId="9">PKC!#REF!</definedName>
    <definedName name="外部資料_204" localSheetId="13">PSR!#REF!</definedName>
    <definedName name="外部資料_204" localSheetId="2">紅綠燈!#REF!</definedName>
    <definedName name="外部資料_204" localSheetId="10">福邦!#REF!</definedName>
    <definedName name="外部資料_2040" localSheetId="2">紅綠燈!#REF!</definedName>
    <definedName name="外部資料_2041" localSheetId="2">紅綠燈!#REF!</definedName>
    <definedName name="外部資料_2042" localSheetId="2">紅綠燈!#REF!</definedName>
    <definedName name="外部資料_2044" localSheetId="2">紅綠燈!#REF!</definedName>
    <definedName name="外部資料_2045" localSheetId="2">紅綠燈!#REF!</definedName>
    <definedName name="外部資料_2046" localSheetId="2">紅綠燈!#REF!</definedName>
    <definedName name="外部資料_2048" localSheetId="2">紅綠燈!#REF!</definedName>
    <definedName name="外部資料_2049" localSheetId="2">紅綠燈!#REF!</definedName>
    <definedName name="外部資料_205" localSheetId="7">PKA!#REF!</definedName>
    <definedName name="外部資料_205" localSheetId="8">PKB!#REF!</definedName>
    <definedName name="外部資料_205" localSheetId="9">PKC!#REF!</definedName>
    <definedName name="外部資料_205" localSheetId="13">PSR!#REF!</definedName>
    <definedName name="外部資料_205" localSheetId="2">紅綠燈!#REF!</definedName>
    <definedName name="外部資料_205" localSheetId="10">福邦!#REF!</definedName>
    <definedName name="外部資料_2050" localSheetId="2">紅綠燈!#REF!</definedName>
    <definedName name="外部資料_2052" localSheetId="2">紅綠燈!#REF!</definedName>
    <definedName name="外部資料_2053" localSheetId="2">紅綠燈!#REF!</definedName>
    <definedName name="外部資料_2054" localSheetId="2">紅綠燈!#REF!</definedName>
    <definedName name="外部資料_2056" localSheetId="2">紅綠燈!#REF!</definedName>
    <definedName name="外部資料_2057" localSheetId="2">紅綠燈!#REF!</definedName>
    <definedName name="外部資料_2058" localSheetId="2">紅綠燈!#REF!</definedName>
    <definedName name="外部資料_206" localSheetId="7">PKA!#REF!</definedName>
    <definedName name="外部資料_206" localSheetId="8">PKB!#REF!</definedName>
    <definedName name="外部資料_206" localSheetId="9">PKC!#REF!</definedName>
    <definedName name="外部資料_206" localSheetId="13">PSR!#REF!</definedName>
    <definedName name="外部資料_206" localSheetId="2">紅綠燈!#REF!</definedName>
    <definedName name="外部資料_206" localSheetId="10">福邦!#REF!</definedName>
    <definedName name="外部資料_2060" localSheetId="2">紅綠燈!#REF!</definedName>
    <definedName name="外部資料_2061" localSheetId="2">紅綠燈!#REF!</definedName>
    <definedName name="外部資料_2062" localSheetId="2">紅綠燈!#REF!</definedName>
    <definedName name="外部資料_2064" localSheetId="2">紅綠燈!#REF!</definedName>
    <definedName name="外部資料_2065" localSheetId="2">紅綠燈!#REF!</definedName>
    <definedName name="外部資料_2066" localSheetId="2">紅綠燈!#REF!</definedName>
    <definedName name="外部資料_2068" localSheetId="2">紅綠燈!#REF!</definedName>
    <definedName name="外部資料_2069" localSheetId="2">紅綠燈!#REF!</definedName>
    <definedName name="外部資料_207" localSheetId="7">PKA!#REF!</definedName>
    <definedName name="外部資料_207" localSheetId="8">PKB!#REF!</definedName>
    <definedName name="外部資料_207" localSheetId="9">PKC!#REF!</definedName>
    <definedName name="外部資料_207" localSheetId="13">PSR!#REF!</definedName>
    <definedName name="外部資料_207" localSheetId="10">福邦!#REF!</definedName>
    <definedName name="外部資料_2070" localSheetId="2">紅綠燈!#REF!</definedName>
    <definedName name="外部資料_2072" localSheetId="2">紅綠燈!#REF!</definedName>
    <definedName name="外部資料_2073" localSheetId="2">紅綠燈!#REF!</definedName>
    <definedName name="外部資料_2074" localSheetId="2">紅綠燈!#REF!</definedName>
    <definedName name="外部資料_2076" localSheetId="2">紅綠燈!#REF!</definedName>
    <definedName name="外部資料_2077" localSheetId="2">紅綠燈!#REF!</definedName>
    <definedName name="外部資料_2078" localSheetId="2">紅綠燈!#REF!</definedName>
    <definedName name="外部資料_208" localSheetId="7">PKA!#REF!</definedName>
    <definedName name="外部資料_208" localSheetId="8">PKB!#REF!</definedName>
    <definedName name="外部資料_208" localSheetId="9">PKC!#REF!</definedName>
    <definedName name="外部資料_208" localSheetId="13">PSR!#REF!</definedName>
    <definedName name="外部資料_208" localSheetId="2">紅綠燈!#REF!</definedName>
    <definedName name="外部資料_208" localSheetId="10">福邦!#REF!</definedName>
    <definedName name="外部資料_2080" localSheetId="2">紅綠燈!#REF!</definedName>
    <definedName name="外部資料_2081" localSheetId="2">紅綠燈!#REF!</definedName>
    <definedName name="外部資料_2082" localSheetId="2">紅綠燈!#REF!</definedName>
    <definedName name="外部資料_2084" localSheetId="2">紅綠燈!#REF!</definedName>
    <definedName name="外部資料_2085" localSheetId="2">紅綠燈!#REF!</definedName>
    <definedName name="外部資料_2086" localSheetId="2">紅綠燈!#REF!</definedName>
    <definedName name="外部資料_2088" localSheetId="2">紅綠燈!#REF!</definedName>
    <definedName name="外部資料_2089" localSheetId="2">紅綠燈!#REF!</definedName>
    <definedName name="外部資料_209" localSheetId="7">PKA!#REF!</definedName>
    <definedName name="外部資料_209" localSheetId="8">PKB!#REF!</definedName>
    <definedName name="外部資料_209" localSheetId="9">PKC!#REF!</definedName>
    <definedName name="外部資料_209" localSheetId="13">PSR!#REF!</definedName>
    <definedName name="外部資料_209" localSheetId="2">紅綠燈!#REF!</definedName>
    <definedName name="外部資料_209" localSheetId="10">福邦!#REF!</definedName>
    <definedName name="外部資料_2090" localSheetId="2">紅綠燈!#REF!</definedName>
    <definedName name="外部資料_2092" localSheetId="2">紅綠燈!#REF!</definedName>
    <definedName name="外部資料_2093" localSheetId="2">紅綠燈!#REF!</definedName>
    <definedName name="外部資料_2094" localSheetId="2">紅綠燈!#REF!</definedName>
    <definedName name="外部資料_2096" localSheetId="2">紅綠燈!#REF!</definedName>
    <definedName name="外部資料_2097" localSheetId="2">紅綠燈!#REF!</definedName>
    <definedName name="外部資料_2098" localSheetId="2">紅綠燈!#REF!</definedName>
    <definedName name="外部資料_21" localSheetId="7">PKA!#REF!</definedName>
    <definedName name="外部資料_21" localSheetId="8">PKB!#REF!</definedName>
    <definedName name="外部資料_21" localSheetId="9">PKC!#REF!</definedName>
    <definedName name="外部資料_21" localSheetId="13">PSR!#REF!</definedName>
    <definedName name="外部資料_21" localSheetId="2">紅綠燈!#REF!</definedName>
    <definedName name="外部資料_21" localSheetId="3">評比系統!#REF!</definedName>
    <definedName name="外部資料_21" localSheetId="10">福邦!#REF!</definedName>
    <definedName name="外部資料_21" localSheetId="4">篩股系統!#REF!</definedName>
    <definedName name="外部資料_21" localSheetId="11">營收搶先報!#REF!</definedName>
    <definedName name="外部資料_210" localSheetId="7">PKA!#REF!</definedName>
    <definedName name="外部資料_210" localSheetId="8">PKB!#REF!</definedName>
    <definedName name="外部資料_210" localSheetId="9">PKC!#REF!</definedName>
    <definedName name="外部資料_210" localSheetId="13">PSR!#REF!</definedName>
    <definedName name="外部資料_210" localSheetId="2">紅綠燈!#REF!</definedName>
    <definedName name="外部資料_210" localSheetId="10">福邦!#REF!</definedName>
    <definedName name="外部資料_2100" localSheetId="2">紅綠燈!#REF!</definedName>
    <definedName name="外部資料_2101" localSheetId="2">紅綠燈!#REF!</definedName>
    <definedName name="外部資料_2102" localSheetId="2">紅綠燈!#REF!</definedName>
    <definedName name="外部資料_2104" localSheetId="2">紅綠燈!#REF!</definedName>
    <definedName name="外部資料_2105" localSheetId="2">紅綠燈!#REF!</definedName>
    <definedName name="外部資料_2106" localSheetId="2">紅綠燈!#REF!</definedName>
    <definedName name="外部資料_2108" localSheetId="2">紅綠燈!#REF!</definedName>
    <definedName name="外部資料_2109" localSheetId="2">紅綠燈!#REF!</definedName>
    <definedName name="外部資料_211" localSheetId="7">PKA!#REF!</definedName>
    <definedName name="外部資料_211" localSheetId="8">PKB!#REF!</definedName>
    <definedName name="外部資料_211" localSheetId="9">PKC!#REF!</definedName>
    <definedName name="外部資料_211" localSheetId="13">PSR!#REF!</definedName>
    <definedName name="外部資料_211" localSheetId="10">福邦!#REF!</definedName>
    <definedName name="外部資料_2110" localSheetId="2">紅綠燈!#REF!</definedName>
    <definedName name="外部資料_2112" localSheetId="2">紅綠燈!#REF!</definedName>
    <definedName name="外部資料_2113" localSheetId="2">紅綠燈!#REF!</definedName>
    <definedName name="外部資料_2114" localSheetId="2">紅綠燈!#REF!</definedName>
    <definedName name="外部資料_2116" localSheetId="2">紅綠燈!#REF!</definedName>
    <definedName name="外部資料_2117" localSheetId="2">紅綠燈!#REF!</definedName>
    <definedName name="外部資料_2118" localSheetId="2">紅綠燈!#REF!</definedName>
    <definedName name="外部資料_212" localSheetId="7">PKA!#REF!</definedName>
    <definedName name="外部資料_212" localSheetId="8">PKB!#REF!</definedName>
    <definedName name="外部資料_212" localSheetId="9">PKC!#REF!</definedName>
    <definedName name="外部資料_212" localSheetId="13">PSR!#REF!</definedName>
    <definedName name="外部資料_212" localSheetId="2">紅綠燈!#REF!</definedName>
    <definedName name="外部資料_212" localSheetId="10">福邦!#REF!</definedName>
    <definedName name="外部資料_2120" localSheetId="2">紅綠燈!#REF!</definedName>
    <definedName name="外部資料_2121" localSheetId="2">紅綠燈!#REF!</definedName>
    <definedName name="外部資料_2122" localSheetId="2">紅綠燈!#REF!</definedName>
    <definedName name="外部資料_2124" localSheetId="2">紅綠燈!#REF!</definedName>
    <definedName name="外部資料_2125" localSheetId="2">紅綠燈!#REF!</definedName>
    <definedName name="外部資料_2126" localSheetId="2">紅綠燈!#REF!</definedName>
    <definedName name="外部資料_2128" localSheetId="2">紅綠燈!#REF!</definedName>
    <definedName name="外部資料_2129" localSheetId="2">紅綠燈!#REF!</definedName>
    <definedName name="外部資料_213" localSheetId="7">PKA!#REF!</definedName>
    <definedName name="外部資料_213" localSheetId="8">PKB!#REF!</definedName>
    <definedName name="外部資料_213" localSheetId="9">PKC!#REF!</definedName>
    <definedName name="外部資料_213" localSheetId="13">PSR!#REF!</definedName>
    <definedName name="外部資料_213" localSheetId="2">紅綠燈!#REF!</definedName>
    <definedName name="外部資料_213" localSheetId="10">福邦!#REF!</definedName>
    <definedName name="外部資料_2130" localSheetId="2">紅綠燈!#REF!</definedName>
    <definedName name="外部資料_2132" localSheetId="2">紅綠燈!#REF!</definedName>
    <definedName name="外部資料_2133" localSheetId="2">紅綠燈!#REF!</definedName>
    <definedName name="外部資料_2134" localSheetId="2">紅綠燈!#REF!</definedName>
    <definedName name="外部資料_2136" localSheetId="2">紅綠燈!#REF!</definedName>
    <definedName name="外部資料_2137" localSheetId="2">紅綠燈!#REF!</definedName>
    <definedName name="外部資料_2138" localSheetId="2">紅綠燈!#REF!</definedName>
    <definedName name="外部資料_214" localSheetId="7">PKA!#REF!</definedName>
    <definedName name="外部資料_214" localSheetId="8">PKB!#REF!</definedName>
    <definedName name="外部資料_214" localSheetId="9">PKC!#REF!</definedName>
    <definedName name="外部資料_214" localSheetId="13">PSR!#REF!</definedName>
    <definedName name="外部資料_214" localSheetId="2">紅綠燈!#REF!</definedName>
    <definedName name="外部資料_214" localSheetId="10">福邦!#REF!</definedName>
    <definedName name="外部資料_2140" localSheetId="2">紅綠燈!#REF!</definedName>
    <definedName name="外部資料_2141" localSheetId="2">紅綠燈!#REF!</definedName>
    <definedName name="外部資料_2142" localSheetId="2">紅綠燈!#REF!</definedName>
    <definedName name="外部資料_2144" localSheetId="2">紅綠燈!#REF!</definedName>
    <definedName name="外部資料_2145" localSheetId="2">紅綠燈!#REF!</definedName>
    <definedName name="外部資料_2146" localSheetId="2">紅綠燈!#REF!</definedName>
    <definedName name="外部資料_2148" localSheetId="2">紅綠燈!#REF!</definedName>
    <definedName name="外部資料_2149" localSheetId="2">紅綠燈!#REF!</definedName>
    <definedName name="外部資料_215" localSheetId="7">PKA!#REF!</definedName>
    <definedName name="外部資料_215" localSheetId="8">PKB!#REF!</definedName>
    <definedName name="外部資料_215" localSheetId="9">PKC!#REF!</definedName>
    <definedName name="外部資料_215" localSheetId="13">PSR!#REF!</definedName>
    <definedName name="外部資料_215" localSheetId="10">福邦!#REF!</definedName>
    <definedName name="外部資料_2150" localSheetId="2">紅綠燈!#REF!</definedName>
    <definedName name="外部資料_2152" localSheetId="2">紅綠燈!#REF!</definedName>
    <definedName name="外部資料_2153" localSheetId="2">紅綠燈!#REF!</definedName>
    <definedName name="外部資料_2154" localSheetId="2">紅綠燈!#REF!</definedName>
    <definedName name="外部資料_2156" localSheetId="2">紅綠燈!#REF!</definedName>
    <definedName name="外部資料_2157" localSheetId="2">紅綠燈!#REF!</definedName>
    <definedName name="外部資料_2158" localSheetId="2">紅綠燈!#REF!</definedName>
    <definedName name="外部資料_216" localSheetId="7">PKA!#REF!</definedName>
    <definedName name="外部資料_216" localSheetId="8">PKB!#REF!</definedName>
    <definedName name="外部資料_216" localSheetId="9">PKC!#REF!</definedName>
    <definedName name="外部資料_216" localSheetId="13">PSR!#REF!</definedName>
    <definedName name="外部資料_216" localSheetId="2">紅綠燈!#REF!</definedName>
    <definedName name="外部資料_216" localSheetId="10">福邦!#REF!</definedName>
    <definedName name="外部資料_2160" localSheetId="2">紅綠燈!#REF!</definedName>
    <definedName name="外部資料_2161" localSheetId="2">紅綠燈!#REF!</definedName>
    <definedName name="外部資料_2162" localSheetId="2">紅綠燈!#REF!</definedName>
    <definedName name="外部資料_2164" localSheetId="2">紅綠燈!#REF!</definedName>
    <definedName name="外部資料_2165" localSheetId="2">紅綠燈!#REF!</definedName>
    <definedName name="外部資料_2166" localSheetId="2">紅綠燈!#REF!</definedName>
    <definedName name="外部資料_2168" localSheetId="2">紅綠燈!#REF!</definedName>
    <definedName name="外部資料_2169" localSheetId="2">紅綠燈!#REF!</definedName>
    <definedName name="外部資料_217" localSheetId="7">PKA!#REF!</definedName>
    <definedName name="外部資料_217" localSheetId="8">PKB!#REF!</definedName>
    <definedName name="外部資料_217" localSheetId="9">PKC!#REF!</definedName>
    <definedName name="外部資料_217" localSheetId="13">PSR!#REF!</definedName>
    <definedName name="外部資料_217" localSheetId="2">紅綠燈!#REF!</definedName>
    <definedName name="外部資料_217" localSheetId="10">福邦!#REF!</definedName>
    <definedName name="外部資料_2170" localSheetId="2">紅綠燈!#REF!</definedName>
    <definedName name="外部資料_2172" localSheetId="2">紅綠燈!#REF!</definedName>
    <definedName name="外部資料_2173" localSheetId="2">紅綠燈!#REF!</definedName>
    <definedName name="外部資料_2174" localSheetId="2">紅綠燈!#REF!</definedName>
    <definedName name="外部資料_2176" localSheetId="2">紅綠燈!#REF!</definedName>
    <definedName name="外部資料_2177" localSheetId="2">紅綠燈!#REF!</definedName>
    <definedName name="外部資料_2178" localSheetId="2">紅綠燈!#REF!</definedName>
    <definedName name="外部資料_218" localSheetId="7">PKA!#REF!</definedName>
    <definedName name="外部資料_218" localSheetId="8">PKB!#REF!</definedName>
    <definedName name="外部資料_218" localSheetId="9">PKC!#REF!</definedName>
    <definedName name="外部資料_218" localSheetId="13">PSR!#REF!</definedName>
    <definedName name="外部資料_218" localSheetId="2">紅綠燈!#REF!</definedName>
    <definedName name="外部資料_218" localSheetId="10">福邦!#REF!</definedName>
    <definedName name="外部資料_2180" localSheetId="2">紅綠燈!#REF!</definedName>
    <definedName name="外部資料_2181" localSheetId="2">紅綠燈!#REF!</definedName>
    <definedName name="外部資料_2182" localSheetId="2">紅綠燈!#REF!</definedName>
    <definedName name="外部資料_2184" localSheetId="2">紅綠燈!#REF!</definedName>
    <definedName name="外部資料_2185" localSheetId="2">紅綠燈!#REF!</definedName>
    <definedName name="外部資料_2186" localSheetId="2">紅綠燈!#REF!</definedName>
    <definedName name="外部資料_2188" localSheetId="2">紅綠燈!#REF!</definedName>
    <definedName name="外部資料_2189" localSheetId="2">紅綠燈!#REF!</definedName>
    <definedName name="外部資料_219" localSheetId="7">PKA!#REF!</definedName>
    <definedName name="外部資料_219" localSheetId="8">PKB!#REF!</definedName>
    <definedName name="外部資料_219" localSheetId="9">PKC!#REF!</definedName>
    <definedName name="外部資料_219" localSheetId="13">PSR!#REF!</definedName>
    <definedName name="外部資料_219" localSheetId="10">福邦!#REF!</definedName>
    <definedName name="外部資料_2190" localSheetId="2">紅綠燈!#REF!</definedName>
    <definedName name="外部資料_2192" localSheetId="2">紅綠燈!#REF!</definedName>
    <definedName name="外部資料_2193" localSheetId="2">紅綠燈!#REF!</definedName>
    <definedName name="外部資料_2194" localSheetId="2">紅綠燈!#REF!</definedName>
    <definedName name="外部資料_2196" localSheetId="2">紅綠燈!#REF!</definedName>
    <definedName name="外部資料_2197" localSheetId="2">紅綠燈!#REF!</definedName>
    <definedName name="外部資料_2198" localSheetId="2">紅綠燈!#REF!</definedName>
    <definedName name="外部資料_22" localSheetId="7">PKA!#REF!</definedName>
    <definedName name="外部資料_22" localSheetId="8">PKB!#REF!</definedName>
    <definedName name="外部資料_22" localSheetId="9">PKC!#REF!</definedName>
    <definedName name="外部資料_22" localSheetId="13">PSR!#REF!</definedName>
    <definedName name="外部資料_22" localSheetId="2">紅綠燈!#REF!</definedName>
    <definedName name="外部資料_22" localSheetId="3">評比系統!#REF!</definedName>
    <definedName name="外部資料_22" localSheetId="10">福邦!#REF!</definedName>
    <definedName name="外部資料_22" localSheetId="4">篩股系統!#REF!</definedName>
    <definedName name="外部資料_22" localSheetId="11">營收搶先報!#REF!</definedName>
    <definedName name="外部資料_220" localSheetId="7">PKA!#REF!</definedName>
    <definedName name="外部資料_220" localSheetId="8">PKB!#REF!</definedName>
    <definedName name="外部資料_220" localSheetId="9">PKC!#REF!</definedName>
    <definedName name="外部資料_220" localSheetId="13">PSR!#REF!</definedName>
    <definedName name="外部資料_220" localSheetId="2">紅綠燈!#REF!</definedName>
    <definedName name="外部資料_220" localSheetId="10">福邦!#REF!</definedName>
    <definedName name="外部資料_2200" localSheetId="2">紅綠燈!#REF!</definedName>
    <definedName name="外部資料_2201" localSheetId="2">紅綠燈!#REF!</definedName>
    <definedName name="外部資料_2202" localSheetId="2">紅綠燈!#REF!</definedName>
    <definedName name="外部資料_2204" localSheetId="2">紅綠燈!#REF!</definedName>
    <definedName name="外部資料_2205" localSheetId="2">紅綠燈!#REF!</definedName>
    <definedName name="外部資料_2206" localSheetId="2">紅綠燈!#REF!</definedName>
    <definedName name="外部資料_2208" localSheetId="2">紅綠燈!#REF!</definedName>
    <definedName name="外部資料_2209" localSheetId="2">紅綠燈!#REF!</definedName>
    <definedName name="外部資料_221" localSheetId="7">PKA!#REF!</definedName>
    <definedName name="外部資料_221" localSheetId="8">PKB!#REF!</definedName>
    <definedName name="外部資料_221" localSheetId="9">PKC!#REF!</definedName>
    <definedName name="外部資料_221" localSheetId="13">PSR!#REF!</definedName>
    <definedName name="外部資料_221" localSheetId="2">紅綠燈!#REF!</definedName>
    <definedName name="外部資料_221" localSheetId="10">福邦!#REF!</definedName>
    <definedName name="外部資料_2210" localSheetId="2">紅綠燈!#REF!</definedName>
    <definedName name="外部資料_2212" localSheetId="2">紅綠燈!#REF!</definedName>
    <definedName name="外部資料_2213" localSheetId="2">紅綠燈!#REF!</definedName>
    <definedName name="外部資料_2214" localSheetId="2">紅綠燈!#REF!</definedName>
    <definedName name="外部資料_2216" localSheetId="2">紅綠燈!#REF!</definedName>
    <definedName name="外部資料_2217" localSheetId="2">紅綠燈!#REF!</definedName>
    <definedName name="外部資料_2218" localSheetId="2">紅綠燈!#REF!</definedName>
    <definedName name="外部資料_222" localSheetId="7">PKA!#REF!</definedName>
    <definedName name="外部資料_222" localSheetId="8">PKB!#REF!</definedName>
    <definedName name="外部資料_222" localSheetId="9">PKC!#REF!</definedName>
    <definedName name="外部資料_222" localSheetId="13">PSR!#REF!</definedName>
    <definedName name="外部資料_222" localSheetId="2">紅綠燈!#REF!</definedName>
    <definedName name="外部資料_222" localSheetId="10">福邦!#REF!</definedName>
    <definedName name="外部資料_2220" localSheetId="2">紅綠燈!#REF!</definedName>
    <definedName name="外部資料_2221" localSheetId="2">紅綠燈!#REF!</definedName>
    <definedName name="外部資料_2222" localSheetId="2">紅綠燈!#REF!</definedName>
    <definedName name="外部資料_2224" localSheetId="2">紅綠燈!#REF!</definedName>
    <definedName name="外部資料_2225" localSheetId="2">紅綠燈!#REF!</definedName>
    <definedName name="外部資料_2226" localSheetId="2">紅綠燈!#REF!</definedName>
    <definedName name="外部資料_2228" localSheetId="2">紅綠燈!#REF!</definedName>
    <definedName name="外部資料_2229" localSheetId="2">紅綠燈!#REF!</definedName>
    <definedName name="外部資料_223" localSheetId="7">PKA!#REF!</definedName>
    <definedName name="外部資料_223" localSheetId="8">PKB!#REF!</definedName>
    <definedName name="外部資料_223" localSheetId="9">PKC!#REF!</definedName>
    <definedName name="外部資料_223" localSheetId="13">PSR!#REF!</definedName>
    <definedName name="外部資料_223" localSheetId="10">福邦!#REF!</definedName>
    <definedName name="外部資料_2230" localSheetId="2">紅綠燈!#REF!</definedName>
    <definedName name="外部資料_2232" localSheetId="2">紅綠燈!#REF!</definedName>
    <definedName name="外部資料_2233" localSheetId="2">紅綠燈!#REF!</definedName>
    <definedName name="外部資料_2234" localSheetId="2">紅綠燈!#REF!</definedName>
    <definedName name="外部資料_2236" localSheetId="2">紅綠燈!#REF!</definedName>
    <definedName name="外部資料_2237" localSheetId="2">紅綠燈!#REF!</definedName>
    <definedName name="外部資料_2238" localSheetId="2">紅綠燈!#REF!</definedName>
    <definedName name="外部資料_224" localSheetId="7">PKA!#REF!</definedName>
    <definedName name="外部資料_224" localSheetId="8">PKB!#REF!</definedName>
    <definedName name="外部資料_224" localSheetId="9">PKC!#REF!</definedName>
    <definedName name="外部資料_224" localSheetId="13">PSR!#REF!</definedName>
    <definedName name="外部資料_224" localSheetId="2">紅綠燈!#REF!</definedName>
    <definedName name="外部資料_224" localSheetId="10">福邦!#REF!</definedName>
    <definedName name="外部資料_2240" localSheetId="2">紅綠燈!#REF!</definedName>
    <definedName name="外部資料_2241" localSheetId="2">紅綠燈!#REF!</definedName>
    <definedName name="外部資料_2242" localSheetId="2">紅綠燈!#REF!</definedName>
    <definedName name="外部資料_2244" localSheetId="2">紅綠燈!#REF!</definedName>
    <definedName name="外部資料_2245" localSheetId="2">紅綠燈!#REF!</definedName>
    <definedName name="外部資料_2246" localSheetId="2">紅綠燈!#REF!</definedName>
    <definedName name="外部資料_2248" localSheetId="2">紅綠燈!#REF!</definedName>
    <definedName name="外部資料_2249" localSheetId="2">紅綠燈!#REF!</definedName>
    <definedName name="外部資料_225" localSheetId="7">PKA!#REF!</definedName>
    <definedName name="外部資料_225" localSheetId="8">PKB!#REF!</definedName>
    <definedName name="外部資料_225" localSheetId="9">PKC!#REF!</definedName>
    <definedName name="外部資料_225" localSheetId="13">PSR!#REF!</definedName>
    <definedName name="外部資料_225" localSheetId="2">紅綠燈!#REF!</definedName>
    <definedName name="外部資料_225" localSheetId="10">福邦!#REF!</definedName>
    <definedName name="外部資料_2250" localSheetId="2">紅綠燈!#REF!</definedName>
    <definedName name="外部資料_2252" localSheetId="2">紅綠燈!#REF!</definedName>
    <definedName name="外部資料_2253" localSheetId="2">紅綠燈!#REF!</definedName>
    <definedName name="外部資料_2254" localSheetId="2">紅綠燈!#REF!</definedName>
    <definedName name="外部資料_2256" localSheetId="2">紅綠燈!#REF!</definedName>
    <definedName name="外部資料_2257" localSheetId="2">紅綠燈!#REF!</definedName>
    <definedName name="外部資料_2258" localSheetId="2">紅綠燈!#REF!</definedName>
    <definedName name="外部資料_226" localSheetId="7">PKA!#REF!</definedName>
    <definedName name="外部資料_226" localSheetId="8">PKB!#REF!</definedName>
    <definedName name="外部資料_226" localSheetId="9">PKC!#REF!</definedName>
    <definedName name="外部資料_226" localSheetId="13">PSR!#REF!</definedName>
    <definedName name="外部資料_226" localSheetId="2">紅綠燈!#REF!</definedName>
    <definedName name="外部資料_226" localSheetId="10">福邦!#REF!</definedName>
    <definedName name="外部資料_2260" localSheetId="2">紅綠燈!#REF!</definedName>
    <definedName name="外部資料_2261" localSheetId="2">紅綠燈!#REF!</definedName>
    <definedName name="外部資料_2262" localSheetId="2">紅綠燈!#REF!</definedName>
    <definedName name="外部資料_2264" localSheetId="2">紅綠燈!#REF!</definedName>
    <definedName name="外部資料_2265" localSheetId="2">紅綠燈!#REF!</definedName>
    <definedName name="外部資料_2266" localSheetId="2">紅綠燈!#REF!</definedName>
    <definedName name="外部資料_2268" localSheetId="2">紅綠燈!#REF!</definedName>
    <definedName name="外部資料_2269" localSheetId="2">紅綠燈!#REF!</definedName>
    <definedName name="外部資料_227" localSheetId="7">PKA!#REF!</definedName>
    <definedName name="外部資料_227" localSheetId="8">PKB!#REF!</definedName>
    <definedName name="外部資料_227" localSheetId="9">PKC!#REF!</definedName>
    <definedName name="外部資料_227" localSheetId="13">PSR!#REF!</definedName>
    <definedName name="外部資料_227" localSheetId="10">福邦!#REF!</definedName>
    <definedName name="外部資料_2270" localSheetId="2">紅綠燈!#REF!</definedName>
    <definedName name="外部資料_2272" localSheetId="2">紅綠燈!#REF!</definedName>
    <definedName name="外部資料_2273" localSheetId="2">紅綠燈!#REF!</definedName>
    <definedName name="外部資料_2274" localSheetId="2">紅綠燈!#REF!</definedName>
    <definedName name="外部資料_2276" localSheetId="2">紅綠燈!#REF!</definedName>
    <definedName name="外部資料_2277" localSheetId="2">紅綠燈!#REF!</definedName>
    <definedName name="外部資料_2278" localSheetId="2">紅綠燈!#REF!</definedName>
    <definedName name="外部資料_228" localSheetId="7">PKA!#REF!</definedName>
    <definedName name="外部資料_228" localSheetId="8">PKB!#REF!</definedName>
    <definedName name="外部資料_228" localSheetId="9">PKC!#REF!</definedName>
    <definedName name="外部資料_228" localSheetId="13">PSR!#REF!</definedName>
    <definedName name="外部資料_228" localSheetId="2">紅綠燈!#REF!</definedName>
    <definedName name="外部資料_228" localSheetId="10">福邦!#REF!</definedName>
    <definedName name="外部資料_2280" localSheetId="2">紅綠燈!#REF!</definedName>
    <definedName name="外部資料_2281" localSheetId="2">紅綠燈!#REF!</definedName>
    <definedName name="外部資料_2282" localSheetId="2">紅綠燈!#REF!</definedName>
    <definedName name="外部資料_2284" localSheetId="2">紅綠燈!#REF!</definedName>
    <definedName name="外部資料_2285" localSheetId="2">紅綠燈!#REF!</definedName>
    <definedName name="外部資料_2286" localSheetId="2">紅綠燈!#REF!</definedName>
    <definedName name="外部資料_2288" localSheetId="2">紅綠燈!#REF!</definedName>
    <definedName name="外部資料_2289" localSheetId="2">紅綠燈!#REF!</definedName>
    <definedName name="外部資料_229" localSheetId="7">PKA!#REF!</definedName>
    <definedName name="外部資料_229" localSheetId="8">PKB!#REF!</definedName>
    <definedName name="外部資料_229" localSheetId="9">PKC!#REF!</definedName>
    <definedName name="外部資料_229" localSheetId="13">PSR!#REF!</definedName>
    <definedName name="外部資料_229" localSheetId="2">紅綠燈!#REF!</definedName>
    <definedName name="外部資料_229" localSheetId="10">福邦!#REF!</definedName>
    <definedName name="外部資料_2290" localSheetId="2">紅綠燈!#REF!</definedName>
    <definedName name="外部資料_2292" localSheetId="2">紅綠燈!#REF!</definedName>
    <definedName name="外部資料_2293" localSheetId="2">紅綠燈!#REF!</definedName>
    <definedName name="外部資料_2294" localSheetId="2">紅綠燈!#REF!</definedName>
    <definedName name="外部資料_2296" localSheetId="2">紅綠燈!#REF!</definedName>
    <definedName name="外部資料_2297" localSheetId="2">紅綠燈!#REF!</definedName>
    <definedName name="外部資料_2298" localSheetId="2">紅綠燈!#REF!</definedName>
    <definedName name="外部資料_23" localSheetId="7">PKA!#REF!</definedName>
    <definedName name="外部資料_23" localSheetId="8">PKB!#REF!</definedName>
    <definedName name="外部資料_23" localSheetId="9">PKC!#REF!</definedName>
    <definedName name="外部資料_23" localSheetId="13">PSR!#REF!</definedName>
    <definedName name="外部資料_23" localSheetId="2">紅綠燈!#REF!</definedName>
    <definedName name="外部資料_23" localSheetId="3">評比系統!#REF!</definedName>
    <definedName name="外部資料_23" localSheetId="10">福邦!#REF!</definedName>
    <definedName name="外部資料_23" localSheetId="4">篩股系統!#REF!</definedName>
    <definedName name="外部資料_23" localSheetId="11">營收搶先報!#REF!</definedName>
    <definedName name="外部資料_230" localSheetId="7">PKA!#REF!</definedName>
    <definedName name="外部資料_230" localSheetId="8">PKB!#REF!</definedName>
    <definedName name="外部資料_230" localSheetId="9">PKC!#REF!</definedName>
    <definedName name="外部資料_230" localSheetId="13">PSR!#REF!</definedName>
    <definedName name="外部資料_230" localSheetId="2">紅綠燈!#REF!</definedName>
    <definedName name="外部資料_230" localSheetId="10">福邦!#REF!</definedName>
    <definedName name="外部資料_2300" localSheetId="2">紅綠燈!#REF!</definedName>
    <definedName name="外部資料_2301" localSheetId="2">紅綠燈!#REF!</definedName>
    <definedName name="外部資料_2302" localSheetId="2">紅綠燈!#REF!</definedName>
    <definedName name="外部資料_2304" localSheetId="2">紅綠燈!#REF!</definedName>
    <definedName name="外部資料_2305" localSheetId="2">紅綠燈!#REF!</definedName>
    <definedName name="外部資料_2306" localSheetId="2">紅綠燈!#REF!</definedName>
    <definedName name="外部資料_2308" localSheetId="2">紅綠燈!#REF!</definedName>
    <definedName name="外部資料_2309" localSheetId="2">紅綠燈!#REF!</definedName>
    <definedName name="外部資料_231" localSheetId="7">PKA!#REF!</definedName>
    <definedName name="外部資料_231" localSheetId="8">PKB!#REF!</definedName>
    <definedName name="外部資料_231" localSheetId="9">PKC!#REF!</definedName>
    <definedName name="外部資料_231" localSheetId="13">PSR!#REF!</definedName>
    <definedName name="外部資料_231" localSheetId="10">福邦!#REF!</definedName>
    <definedName name="外部資料_2310" localSheetId="2">紅綠燈!#REF!</definedName>
    <definedName name="外部資料_2312" localSheetId="2">紅綠燈!#REF!</definedName>
    <definedName name="外部資料_2313" localSheetId="2">紅綠燈!#REF!</definedName>
    <definedName name="外部資料_2314" localSheetId="2">紅綠燈!#REF!</definedName>
    <definedName name="外部資料_2316" localSheetId="2">紅綠燈!#REF!</definedName>
    <definedName name="外部資料_2317" localSheetId="2">紅綠燈!#REF!</definedName>
    <definedName name="外部資料_2318" localSheetId="2">紅綠燈!#REF!</definedName>
    <definedName name="外部資料_232" localSheetId="7">PKA!#REF!</definedName>
    <definedName name="外部資料_232" localSheetId="8">PKB!#REF!</definedName>
    <definedName name="外部資料_232" localSheetId="9">PKC!#REF!</definedName>
    <definedName name="外部資料_232" localSheetId="13">PSR!#REF!</definedName>
    <definedName name="外部資料_232" localSheetId="2">紅綠燈!#REF!</definedName>
    <definedName name="外部資料_232" localSheetId="10">福邦!#REF!</definedName>
    <definedName name="外部資料_2320" localSheetId="2">紅綠燈!#REF!</definedName>
    <definedName name="外部資料_2321" localSheetId="2">紅綠燈!#REF!</definedName>
    <definedName name="外部資料_2322" localSheetId="2">紅綠燈!#REF!</definedName>
    <definedName name="外部資料_2324" localSheetId="2">紅綠燈!#REF!</definedName>
    <definedName name="外部資料_2325" localSheetId="2">紅綠燈!#REF!</definedName>
    <definedName name="外部資料_2326" localSheetId="2">紅綠燈!#REF!</definedName>
    <definedName name="外部資料_2328" localSheetId="2">紅綠燈!#REF!</definedName>
    <definedName name="外部資料_2329" localSheetId="2">紅綠燈!#REF!</definedName>
    <definedName name="外部資料_233" localSheetId="7">PKA!#REF!</definedName>
    <definedName name="外部資料_233" localSheetId="8">PKB!#REF!</definedName>
    <definedName name="外部資料_233" localSheetId="9">PKC!#REF!</definedName>
    <definedName name="外部資料_233" localSheetId="13">PSR!#REF!</definedName>
    <definedName name="外部資料_233" localSheetId="2">紅綠燈!#REF!</definedName>
    <definedName name="外部資料_233" localSheetId="10">福邦!#REF!</definedName>
    <definedName name="外部資料_2330" localSheetId="2">紅綠燈!#REF!</definedName>
    <definedName name="外部資料_2332" localSheetId="2">紅綠燈!#REF!</definedName>
    <definedName name="外部資料_2333" localSheetId="2">紅綠燈!#REF!</definedName>
    <definedName name="外部資料_2334" localSheetId="2">紅綠燈!#REF!</definedName>
    <definedName name="外部資料_2336" localSheetId="2">紅綠燈!#REF!</definedName>
    <definedName name="外部資料_2337" localSheetId="2">紅綠燈!#REF!</definedName>
    <definedName name="外部資料_2338" localSheetId="2">紅綠燈!#REF!</definedName>
    <definedName name="外部資料_234" localSheetId="7">PKA!#REF!</definedName>
    <definedName name="外部資料_234" localSheetId="8">PKB!#REF!</definedName>
    <definedName name="外部資料_234" localSheetId="9">PKC!#REF!</definedName>
    <definedName name="外部資料_234" localSheetId="13">PSR!#REF!</definedName>
    <definedName name="外部資料_234" localSheetId="2">紅綠燈!#REF!</definedName>
    <definedName name="外部資料_234" localSheetId="10">福邦!#REF!</definedName>
    <definedName name="外部資料_2340" localSheetId="2">紅綠燈!#REF!</definedName>
    <definedName name="外部資料_2341" localSheetId="2">紅綠燈!#REF!</definedName>
    <definedName name="外部資料_2342" localSheetId="2">紅綠燈!#REF!</definedName>
    <definedName name="外部資料_2344" localSheetId="2">紅綠燈!#REF!</definedName>
    <definedName name="外部資料_2345" localSheetId="2">紅綠燈!#REF!</definedName>
    <definedName name="外部資料_2346" localSheetId="2">紅綠燈!#REF!</definedName>
    <definedName name="外部資料_2348" localSheetId="2">紅綠燈!#REF!</definedName>
    <definedName name="外部資料_2349" localSheetId="2">紅綠燈!#REF!</definedName>
    <definedName name="外部資料_235" localSheetId="7">PKA!#REF!</definedName>
    <definedName name="外部資料_235" localSheetId="8">PKB!#REF!</definedName>
    <definedName name="外部資料_235" localSheetId="9">PKC!#REF!</definedName>
    <definedName name="外部資料_235" localSheetId="13">PSR!#REF!</definedName>
    <definedName name="外部資料_235" localSheetId="10">福邦!#REF!</definedName>
    <definedName name="外部資料_2350" localSheetId="2">紅綠燈!#REF!</definedName>
    <definedName name="外部資料_2352" localSheetId="2">紅綠燈!#REF!</definedName>
    <definedName name="外部資料_2353" localSheetId="2">紅綠燈!#REF!</definedName>
    <definedName name="外部資料_2354" localSheetId="2">紅綠燈!#REF!</definedName>
    <definedName name="外部資料_2356" localSheetId="2">紅綠燈!#REF!</definedName>
    <definedName name="外部資料_2357" localSheetId="2">紅綠燈!#REF!</definedName>
    <definedName name="外部資料_2358" localSheetId="2">紅綠燈!#REF!</definedName>
    <definedName name="外部資料_236" localSheetId="7">PKA!#REF!</definedName>
    <definedName name="外部資料_236" localSheetId="8">PKB!#REF!</definedName>
    <definedName name="外部資料_236" localSheetId="9">PKC!#REF!</definedName>
    <definedName name="外部資料_236" localSheetId="13">PSR!#REF!</definedName>
    <definedName name="外部資料_236" localSheetId="2">紅綠燈!#REF!</definedName>
    <definedName name="外部資料_236" localSheetId="10">福邦!#REF!</definedName>
    <definedName name="外部資料_2360" localSheetId="2">紅綠燈!#REF!</definedName>
    <definedName name="外部資料_2361" localSheetId="2">紅綠燈!#REF!</definedName>
    <definedName name="外部資料_2362" localSheetId="2">紅綠燈!#REF!</definedName>
    <definedName name="外部資料_2364" localSheetId="2">紅綠燈!#REF!</definedName>
    <definedName name="外部資料_2365" localSheetId="2">紅綠燈!#REF!</definedName>
    <definedName name="外部資料_2366" localSheetId="2">紅綠燈!#REF!</definedName>
    <definedName name="外部資料_2368" localSheetId="2">紅綠燈!#REF!</definedName>
    <definedName name="外部資料_2369" localSheetId="2">紅綠燈!#REF!</definedName>
    <definedName name="外部資料_237" localSheetId="7">PKA!#REF!</definedName>
    <definedName name="外部資料_237" localSheetId="8">PKB!#REF!</definedName>
    <definedName name="外部資料_237" localSheetId="9">PKC!#REF!</definedName>
    <definedName name="外部資料_237" localSheetId="13">PSR!#REF!</definedName>
    <definedName name="外部資料_237" localSheetId="2">紅綠燈!#REF!</definedName>
    <definedName name="外部資料_237" localSheetId="10">福邦!#REF!</definedName>
    <definedName name="外部資料_2370" localSheetId="2">紅綠燈!#REF!</definedName>
    <definedName name="外部資料_2372" localSheetId="2">紅綠燈!#REF!</definedName>
    <definedName name="外部資料_2373" localSheetId="2">紅綠燈!#REF!</definedName>
    <definedName name="外部資料_2374" localSheetId="2">紅綠燈!#REF!</definedName>
    <definedName name="外部資料_2376" localSheetId="2">紅綠燈!#REF!</definedName>
    <definedName name="外部資料_2377" localSheetId="2">紅綠燈!#REF!</definedName>
    <definedName name="外部資料_2378" localSheetId="2">紅綠燈!#REF!</definedName>
    <definedName name="外部資料_238" localSheetId="7">PKA!#REF!</definedName>
    <definedName name="外部資料_238" localSheetId="8">PKB!#REF!</definedName>
    <definedName name="外部資料_238" localSheetId="9">PKC!#REF!</definedName>
    <definedName name="外部資料_238" localSheetId="13">PSR!#REF!</definedName>
    <definedName name="外部資料_238" localSheetId="2">紅綠燈!#REF!</definedName>
    <definedName name="外部資料_238" localSheetId="10">福邦!#REF!</definedName>
    <definedName name="外部資料_2380" localSheetId="2">紅綠燈!#REF!</definedName>
    <definedName name="外部資料_2381" localSheetId="2">紅綠燈!#REF!</definedName>
    <definedName name="外部資料_2382" localSheetId="2">紅綠燈!#REF!</definedName>
    <definedName name="外部資料_2384" localSheetId="2">紅綠燈!#REF!</definedName>
    <definedName name="外部資料_2385" localSheetId="2">紅綠燈!#REF!</definedName>
    <definedName name="外部資料_2386" localSheetId="2">紅綠燈!#REF!</definedName>
    <definedName name="外部資料_2388" localSheetId="2">紅綠燈!#REF!</definedName>
    <definedName name="外部資料_2389" localSheetId="2">紅綠燈!#REF!</definedName>
    <definedName name="外部資料_239" localSheetId="7">PKA!#REF!</definedName>
    <definedName name="外部資料_239" localSheetId="8">PKB!#REF!</definedName>
    <definedName name="外部資料_239" localSheetId="9">PKC!#REF!</definedName>
    <definedName name="外部資料_239" localSheetId="13">PSR!#REF!</definedName>
    <definedName name="外部資料_239" localSheetId="10">福邦!#REF!</definedName>
    <definedName name="外部資料_2390" localSheetId="2">紅綠燈!#REF!</definedName>
    <definedName name="外部資料_2392" localSheetId="2">紅綠燈!#REF!</definedName>
    <definedName name="外部資料_2393" localSheetId="2">紅綠燈!#REF!</definedName>
    <definedName name="外部資料_2394" localSheetId="2">紅綠燈!#REF!</definedName>
    <definedName name="外部資料_2396" localSheetId="2">紅綠燈!#REF!</definedName>
    <definedName name="外部資料_2397" localSheetId="2">紅綠燈!#REF!</definedName>
    <definedName name="外部資料_2398" localSheetId="2">紅綠燈!#REF!</definedName>
    <definedName name="外部資料_24" localSheetId="7">PKA!#REF!</definedName>
    <definedName name="外部資料_24" localSheetId="8">PKB!#REF!</definedName>
    <definedName name="外部資料_24" localSheetId="9">PKC!#REF!</definedName>
    <definedName name="外部資料_24" localSheetId="13">PSR!#REF!</definedName>
    <definedName name="外部資料_24" localSheetId="2">紅綠燈!#REF!</definedName>
    <definedName name="外部資料_24" localSheetId="3">評比系統!#REF!</definedName>
    <definedName name="外部資料_24" localSheetId="10">福邦!#REF!</definedName>
    <definedName name="外部資料_24" localSheetId="4">篩股系統!#REF!</definedName>
    <definedName name="外部資料_24" localSheetId="11">營收搶先報!#REF!</definedName>
    <definedName name="外部資料_240" localSheetId="7">PKA!#REF!</definedName>
    <definedName name="外部資料_240" localSheetId="8">PKB!#REF!</definedName>
    <definedName name="外部資料_240" localSheetId="9">PKC!#REF!</definedName>
    <definedName name="外部資料_240" localSheetId="13">PSR!#REF!</definedName>
    <definedName name="外部資料_240" localSheetId="2">紅綠燈!#REF!</definedName>
    <definedName name="外部資料_240" localSheetId="10">福邦!#REF!</definedName>
    <definedName name="外部資料_2400" localSheetId="2">紅綠燈!#REF!</definedName>
    <definedName name="外部資料_2401" localSheetId="2">紅綠燈!#REF!</definedName>
    <definedName name="外部資料_2402" localSheetId="2">紅綠燈!#REF!</definedName>
    <definedName name="外部資料_2404" localSheetId="2">紅綠燈!#REF!</definedName>
    <definedName name="外部資料_2405" localSheetId="2">紅綠燈!#REF!</definedName>
    <definedName name="外部資料_2406" localSheetId="2">紅綠燈!#REF!</definedName>
    <definedName name="外部資料_2408" localSheetId="2">紅綠燈!#REF!</definedName>
    <definedName name="外部資料_2409" localSheetId="2">紅綠燈!#REF!</definedName>
    <definedName name="外部資料_241" localSheetId="7">PKA!#REF!</definedName>
    <definedName name="外部資料_241" localSheetId="8">PKB!#REF!</definedName>
    <definedName name="外部資料_241" localSheetId="9">PKC!#REF!</definedName>
    <definedName name="外部資料_241" localSheetId="13">PSR!#REF!</definedName>
    <definedName name="外部資料_241" localSheetId="2">紅綠燈!#REF!</definedName>
    <definedName name="外部資料_241" localSheetId="10">福邦!#REF!</definedName>
    <definedName name="外部資料_2410" localSheetId="2">紅綠燈!#REF!</definedName>
    <definedName name="外部資料_2412" localSheetId="2">紅綠燈!#REF!</definedName>
    <definedName name="外部資料_2413" localSheetId="2">紅綠燈!#REF!</definedName>
    <definedName name="外部資料_2414" localSheetId="2">紅綠燈!#REF!</definedName>
    <definedName name="外部資料_2416" localSheetId="2">紅綠燈!#REF!</definedName>
    <definedName name="外部資料_2417" localSheetId="2">紅綠燈!#REF!</definedName>
    <definedName name="外部資料_2418" localSheetId="2">紅綠燈!#REF!</definedName>
    <definedName name="外部資料_242" localSheetId="7">PKA!#REF!</definedName>
    <definedName name="外部資料_242" localSheetId="8">PKB!#REF!</definedName>
    <definedName name="外部資料_242" localSheetId="9">PKC!#REF!</definedName>
    <definedName name="外部資料_242" localSheetId="13">PSR!#REF!</definedName>
    <definedName name="外部資料_242" localSheetId="2">紅綠燈!#REF!</definedName>
    <definedName name="外部資料_242" localSheetId="10">福邦!#REF!</definedName>
    <definedName name="外部資料_2420" localSheetId="2">紅綠燈!#REF!</definedName>
    <definedName name="外部資料_2421" localSheetId="2">紅綠燈!#REF!</definedName>
    <definedName name="外部資料_2422" localSheetId="2">紅綠燈!#REF!</definedName>
    <definedName name="外部資料_2424" localSheetId="2">紅綠燈!#REF!</definedName>
    <definedName name="外部資料_2425" localSheetId="2">紅綠燈!#REF!</definedName>
    <definedName name="外部資料_2426" localSheetId="2">紅綠燈!#REF!</definedName>
    <definedName name="外部資料_2428" localSheetId="2">紅綠燈!#REF!</definedName>
    <definedName name="外部資料_2429" localSheetId="2">紅綠燈!#REF!</definedName>
    <definedName name="外部資料_243" localSheetId="7">PKA!#REF!</definedName>
    <definedName name="外部資料_243" localSheetId="8">PKB!#REF!</definedName>
    <definedName name="外部資料_243" localSheetId="9">PKC!#REF!</definedName>
    <definedName name="外部資料_243" localSheetId="13">PSR!#REF!</definedName>
    <definedName name="外部資料_243" localSheetId="10">福邦!#REF!</definedName>
    <definedName name="外部資料_2430" localSheetId="2">紅綠燈!#REF!</definedName>
    <definedName name="外部資料_2432" localSheetId="2">紅綠燈!#REF!</definedName>
    <definedName name="外部資料_2433" localSheetId="2">紅綠燈!#REF!</definedName>
    <definedName name="外部資料_2434" localSheetId="2">紅綠燈!#REF!</definedName>
    <definedName name="外部資料_2436" localSheetId="2">紅綠燈!#REF!</definedName>
    <definedName name="外部資料_2437" localSheetId="2">紅綠燈!#REF!</definedName>
    <definedName name="外部資料_2438" localSheetId="2">紅綠燈!#REF!</definedName>
    <definedName name="外部資料_244" localSheetId="7">PKA!#REF!</definedName>
    <definedName name="外部資料_244" localSheetId="8">PKB!#REF!</definedName>
    <definedName name="外部資料_244" localSheetId="9">PKC!#REF!</definedName>
    <definedName name="外部資料_244" localSheetId="2">紅綠燈!#REF!</definedName>
    <definedName name="外部資料_244" localSheetId="10">福邦!#REF!</definedName>
    <definedName name="外部資料_2440" localSheetId="2">紅綠燈!#REF!</definedName>
    <definedName name="外部資料_2441" localSheetId="2">紅綠燈!#REF!</definedName>
    <definedName name="外部資料_2442" localSheetId="2">紅綠燈!#REF!</definedName>
    <definedName name="外部資料_2444" localSheetId="2">紅綠燈!#REF!</definedName>
    <definedName name="外部資料_2445" localSheetId="2">紅綠燈!#REF!</definedName>
    <definedName name="外部資料_2446" localSheetId="2">紅綠燈!#REF!</definedName>
    <definedName name="外部資料_2448" localSheetId="2">紅綠燈!#REF!</definedName>
    <definedName name="外部資料_2449" localSheetId="2">紅綠燈!#REF!</definedName>
    <definedName name="外部資料_245" localSheetId="7">PKA!#REF!</definedName>
    <definedName name="外部資料_245" localSheetId="8">PKB!#REF!</definedName>
    <definedName name="外部資料_245" localSheetId="9">PKC!#REF!</definedName>
    <definedName name="外部資料_245" localSheetId="2">紅綠燈!#REF!</definedName>
    <definedName name="外部資料_245" localSheetId="10">福邦!#REF!</definedName>
    <definedName name="外部資料_2451" localSheetId="2">紅綠燈!#REF!</definedName>
    <definedName name="外部資料_2452" localSheetId="2">紅綠燈!#REF!</definedName>
    <definedName name="外部資料_2453" localSheetId="2">紅綠燈!#REF!</definedName>
    <definedName name="外部資料_2455" localSheetId="2">紅綠燈!#REF!</definedName>
    <definedName name="外部資料_2456" localSheetId="2">紅綠燈!#REF!</definedName>
    <definedName name="外部資料_2457" localSheetId="2">紅綠燈!#REF!</definedName>
    <definedName name="外部資料_2459" localSheetId="2">紅綠燈!#REF!</definedName>
    <definedName name="外部資料_246" localSheetId="7">PKA!#REF!</definedName>
    <definedName name="外部資料_246" localSheetId="8">PKB!#REF!</definedName>
    <definedName name="外部資料_246" localSheetId="9">PKC!#REF!</definedName>
    <definedName name="外部資料_246" localSheetId="2">紅綠燈!#REF!</definedName>
    <definedName name="外部資料_246" localSheetId="10">福邦!#REF!</definedName>
    <definedName name="外部資料_2460" localSheetId="2">紅綠燈!#REF!</definedName>
    <definedName name="外部資料_2461" localSheetId="2">紅綠燈!#REF!</definedName>
    <definedName name="外部資料_2463" localSheetId="2">紅綠燈!#REF!</definedName>
    <definedName name="外部資料_2464" localSheetId="2">紅綠燈!#REF!</definedName>
    <definedName name="外部資料_2465" localSheetId="2">紅綠燈!#REF!</definedName>
    <definedName name="外部資料_2467" localSheetId="2">紅綠燈!#REF!</definedName>
    <definedName name="外部資料_2468" localSheetId="2">紅綠燈!#REF!</definedName>
    <definedName name="外部資料_2469" localSheetId="2">紅綠燈!#REF!</definedName>
    <definedName name="外部資料_247" localSheetId="7">PKA!#REF!</definedName>
    <definedName name="外部資料_247" localSheetId="8">PKB!#REF!</definedName>
    <definedName name="外部資料_247" localSheetId="9">PKC!#REF!</definedName>
    <definedName name="外部資料_247" localSheetId="10">福邦!#REF!</definedName>
    <definedName name="外部資料_2471" localSheetId="2">紅綠燈!#REF!</definedName>
    <definedName name="外部資料_2472" localSheetId="2">紅綠燈!#REF!</definedName>
    <definedName name="外部資料_2473" localSheetId="2">紅綠燈!#REF!</definedName>
    <definedName name="外部資料_2475" localSheetId="2">紅綠燈!#REF!</definedName>
    <definedName name="外部資料_2476" localSheetId="2">紅綠燈!#REF!</definedName>
    <definedName name="外部資料_2477" localSheetId="2">紅綠燈!#REF!</definedName>
    <definedName name="外部資料_2479" localSheetId="2">紅綠燈!#REF!</definedName>
    <definedName name="外部資料_248" localSheetId="7">PKA!#REF!</definedName>
    <definedName name="外部資料_248" localSheetId="8">PKB!#REF!</definedName>
    <definedName name="外部資料_248" localSheetId="9">PKC!#REF!</definedName>
    <definedName name="外部資料_248" localSheetId="2">紅綠燈!#REF!</definedName>
    <definedName name="外部資料_248" localSheetId="10">福邦!#REF!</definedName>
    <definedName name="外部資料_2480" localSheetId="2">紅綠燈!#REF!</definedName>
    <definedName name="外部資料_2481" localSheetId="2">紅綠燈!#REF!</definedName>
    <definedName name="外部資料_2483" localSheetId="2">紅綠燈!#REF!</definedName>
    <definedName name="外部資料_2484" localSheetId="2">紅綠燈!#REF!</definedName>
    <definedName name="外部資料_2485" localSheetId="2">紅綠燈!#REF!</definedName>
    <definedName name="外部資料_2487" localSheetId="2">紅綠燈!#REF!</definedName>
    <definedName name="外部資料_2488" localSheetId="2">紅綠燈!#REF!</definedName>
    <definedName name="外部資料_2489" localSheetId="2">紅綠燈!#REF!</definedName>
    <definedName name="外部資料_249" localSheetId="7">PKA!#REF!</definedName>
    <definedName name="外部資料_249" localSheetId="8">PKB!#REF!</definedName>
    <definedName name="外部資料_249" localSheetId="9">PKC!#REF!</definedName>
    <definedName name="外部資料_249" localSheetId="2">紅綠燈!#REF!</definedName>
    <definedName name="外部資料_249" localSheetId="10">福邦!#REF!</definedName>
    <definedName name="外部資料_2491" localSheetId="2">紅綠燈!#REF!</definedName>
    <definedName name="外部資料_2492" localSheetId="2">紅綠燈!#REF!</definedName>
    <definedName name="外部資料_2493" localSheetId="2">紅綠燈!#REF!</definedName>
    <definedName name="外部資料_2495" localSheetId="2">紅綠燈!#REF!</definedName>
    <definedName name="外部資料_2496" localSheetId="2">紅綠燈!#REF!</definedName>
    <definedName name="外部資料_2497" localSheetId="2">紅綠燈!#REF!</definedName>
    <definedName name="外部資料_2499" localSheetId="2">紅綠燈!#REF!</definedName>
    <definedName name="外部資料_25" localSheetId="7">PKA!#REF!</definedName>
    <definedName name="外部資料_25" localSheetId="8">PKB!#REF!</definedName>
    <definedName name="外部資料_25" localSheetId="9">PKC!#REF!</definedName>
    <definedName name="外部資料_25" localSheetId="13">PSR!#REF!</definedName>
    <definedName name="外部資料_25" localSheetId="2">紅綠燈!#REF!</definedName>
    <definedName name="外部資料_25" localSheetId="3">評比系統!#REF!</definedName>
    <definedName name="外部資料_25" localSheetId="10">福邦!#REF!</definedName>
    <definedName name="外部資料_25" localSheetId="4">篩股系統!#REF!</definedName>
    <definedName name="外部資料_25" localSheetId="11">營收搶先報!#REF!</definedName>
    <definedName name="外部資料_250" localSheetId="7">PKA!#REF!</definedName>
    <definedName name="外部資料_250" localSheetId="8">PKB!#REF!</definedName>
    <definedName name="外部資料_250" localSheetId="9">PKC!#REF!</definedName>
    <definedName name="外部資料_250" localSheetId="2">紅綠燈!#REF!</definedName>
    <definedName name="外部資料_250" localSheetId="10">福邦!#REF!</definedName>
    <definedName name="外部資料_2500" localSheetId="2">紅綠燈!#REF!</definedName>
    <definedName name="外部資料_2501" localSheetId="2">紅綠燈!#REF!</definedName>
    <definedName name="外部資料_2503" localSheetId="2">紅綠燈!#REF!</definedName>
    <definedName name="外部資料_2504" localSheetId="2">紅綠燈!#REF!</definedName>
    <definedName name="外部資料_2505" localSheetId="2">紅綠燈!#REF!</definedName>
    <definedName name="外部資料_2507" localSheetId="2">紅綠燈!#REF!</definedName>
    <definedName name="外部資料_2508" localSheetId="2">紅綠燈!#REF!</definedName>
    <definedName name="外部資料_2509" localSheetId="2">紅綠燈!#REF!</definedName>
    <definedName name="外部資料_251" localSheetId="7">PKA!#REF!</definedName>
    <definedName name="外部資料_251" localSheetId="8">PKB!#REF!</definedName>
    <definedName name="外部資料_251" localSheetId="9">PKC!#REF!</definedName>
    <definedName name="外部資料_251" localSheetId="10">福邦!#REF!</definedName>
    <definedName name="外部資料_2511" localSheetId="2">紅綠燈!#REF!</definedName>
    <definedName name="外部資料_2512" localSheetId="2">紅綠燈!#REF!</definedName>
    <definedName name="外部資料_2513" localSheetId="2">紅綠燈!#REF!</definedName>
    <definedName name="外部資料_2515" localSheetId="2">紅綠燈!#REF!</definedName>
    <definedName name="外部資料_2516" localSheetId="2">紅綠燈!#REF!</definedName>
    <definedName name="外部資料_2517" localSheetId="2">紅綠燈!#REF!</definedName>
    <definedName name="外部資料_2519" localSheetId="2">紅綠燈!#REF!</definedName>
    <definedName name="外部資料_252" localSheetId="7">PKA!#REF!</definedName>
    <definedName name="外部資料_252" localSheetId="8">PKB!#REF!</definedName>
    <definedName name="外部資料_252" localSheetId="9">PKC!#REF!</definedName>
    <definedName name="外部資料_252" localSheetId="2">紅綠燈!#REF!</definedName>
    <definedName name="外部資料_252" localSheetId="10">福邦!#REF!</definedName>
    <definedName name="外部資料_2520" localSheetId="2">紅綠燈!#REF!</definedName>
    <definedName name="外部資料_2521" localSheetId="2">紅綠燈!#REF!</definedName>
    <definedName name="外部資料_2523" localSheetId="2">紅綠燈!#REF!</definedName>
    <definedName name="外部資料_2524" localSheetId="2">紅綠燈!#REF!</definedName>
    <definedName name="外部資料_2525" localSheetId="2">紅綠燈!#REF!</definedName>
    <definedName name="外部資料_2527" localSheetId="2">紅綠燈!#REF!</definedName>
    <definedName name="外部資料_2528" localSheetId="2">紅綠燈!#REF!</definedName>
    <definedName name="外部資料_2529" localSheetId="2">紅綠燈!#REF!</definedName>
    <definedName name="外部資料_253" localSheetId="7">PKA!#REF!</definedName>
    <definedName name="外部資料_253" localSheetId="8">PKB!#REF!</definedName>
    <definedName name="外部資料_253" localSheetId="9">PKC!#REF!</definedName>
    <definedName name="外部資料_253" localSheetId="2">紅綠燈!#REF!</definedName>
    <definedName name="外部資料_253" localSheetId="10">福邦!#REF!</definedName>
    <definedName name="外部資料_2531" localSheetId="2">紅綠燈!#REF!</definedName>
    <definedName name="外部資料_2532" localSheetId="2">紅綠燈!#REF!</definedName>
    <definedName name="外部資料_2533" localSheetId="2">紅綠燈!#REF!</definedName>
    <definedName name="外部資料_2535" localSheetId="2">紅綠燈!#REF!</definedName>
    <definedName name="外部資料_2536" localSheetId="2">紅綠燈!#REF!</definedName>
    <definedName name="外部資料_2537" localSheetId="2">紅綠燈!#REF!</definedName>
    <definedName name="外部資料_2539" localSheetId="2">紅綠燈!#REF!</definedName>
    <definedName name="外部資料_254" localSheetId="7">PKA!#REF!</definedName>
    <definedName name="外部資料_254" localSheetId="8">PKB!#REF!</definedName>
    <definedName name="外部資料_254" localSheetId="9">PKC!#REF!</definedName>
    <definedName name="外部資料_254" localSheetId="2">紅綠燈!#REF!</definedName>
    <definedName name="外部資料_254" localSheetId="10">福邦!#REF!</definedName>
    <definedName name="外部資料_2540" localSheetId="2">紅綠燈!#REF!</definedName>
    <definedName name="外部資料_2541" localSheetId="2">紅綠燈!#REF!</definedName>
    <definedName name="外部資料_2543" localSheetId="2">紅綠燈!#REF!</definedName>
    <definedName name="外部資料_2544" localSheetId="2">紅綠燈!#REF!</definedName>
    <definedName name="外部資料_2545" localSheetId="2">紅綠燈!#REF!</definedName>
    <definedName name="外部資料_2547" localSheetId="2">紅綠燈!#REF!</definedName>
    <definedName name="外部資料_2548" localSheetId="2">紅綠燈!#REF!</definedName>
    <definedName name="外部資料_2549" localSheetId="2">紅綠燈!#REF!</definedName>
    <definedName name="外部資料_255" localSheetId="7">PKA!#REF!</definedName>
    <definedName name="外部資料_255" localSheetId="8">PKB!#REF!</definedName>
    <definedName name="外部資料_255" localSheetId="9">PKC!#REF!</definedName>
    <definedName name="外部資料_255" localSheetId="10">福邦!#REF!</definedName>
    <definedName name="外部資料_2551" localSheetId="2">紅綠燈!#REF!</definedName>
    <definedName name="外部資料_2552" localSheetId="2">紅綠燈!#REF!</definedName>
    <definedName name="外部資料_2553" localSheetId="2">紅綠燈!#REF!</definedName>
    <definedName name="外部資料_2555" localSheetId="2">紅綠燈!#REF!</definedName>
    <definedName name="外部資料_2556" localSheetId="2">紅綠燈!#REF!</definedName>
    <definedName name="外部資料_2557" localSheetId="2">紅綠燈!#REF!</definedName>
    <definedName name="外部資料_2559" localSheetId="2">紅綠燈!#REF!</definedName>
    <definedName name="外部資料_256" localSheetId="7">PKA!#REF!</definedName>
    <definedName name="外部資料_256" localSheetId="8">PKB!#REF!</definedName>
    <definedName name="外部資料_256" localSheetId="9">PKC!#REF!</definedName>
    <definedName name="外部資料_256" localSheetId="2">紅綠燈!#REF!</definedName>
    <definedName name="外部資料_256" localSheetId="10">福邦!#REF!</definedName>
    <definedName name="外部資料_2560" localSheetId="2">紅綠燈!#REF!</definedName>
    <definedName name="外部資料_2561" localSheetId="2">紅綠燈!#REF!</definedName>
    <definedName name="外部資料_2563" localSheetId="2">紅綠燈!#REF!</definedName>
    <definedName name="外部資料_2564" localSheetId="2">紅綠燈!#REF!</definedName>
    <definedName name="外部資料_2565" localSheetId="2">紅綠燈!#REF!</definedName>
    <definedName name="外部資料_2567" localSheetId="2">紅綠燈!#REF!</definedName>
    <definedName name="外部資料_2568" localSheetId="2">紅綠燈!#REF!</definedName>
    <definedName name="外部資料_2569" localSheetId="2">紅綠燈!#REF!</definedName>
    <definedName name="外部資料_257" localSheetId="7">PKA!#REF!</definedName>
    <definedName name="外部資料_257" localSheetId="8">PKB!#REF!</definedName>
    <definedName name="外部資料_257" localSheetId="9">PKC!#REF!</definedName>
    <definedName name="外部資料_257" localSheetId="2">紅綠燈!#REF!</definedName>
    <definedName name="外部資料_257" localSheetId="10">福邦!#REF!</definedName>
    <definedName name="外部資料_2571" localSheetId="2">紅綠燈!#REF!</definedName>
    <definedName name="外部資料_2572" localSheetId="2">紅綠燈!#REF!</definedName>
    <definedName name="外部資料_2573" localSheetId="2">紅綠燈!#REF!</definedName>
    <definedName name="外部資料_2575" localSheetId="2">紅綠燈!#REF!</definedName>
    <definedName name="外部資料_2576" localSheetId="2">紅綠燈!#REF!</definedName>
    <definedName name="外部資料_2577" localSheetId="2">紅綠燈!#REF!</definedName>
    <definedName name="外部資料_2579" localSheetId="2">紅綠燈!#REF!</definedName>
    <definedName name="外部資料_258" localSheetId="7">PKA!#REF!</definedName>
    <definedName name="外部資料_258" localSheetId="8">PKB!#REF!</definedName>
    <definedName name="外部資料_258" localSheetId="9">PKC!#REF!</definedName>
    <definedName name="外部資料_258" localSheetId="2">紅綠燈!#REF!</definedName>
    <definedName name="外部資料_258" localSheetId="10">福邦!#REF!</definedName>
    <definedName name="外部資料_2580" localSheetId="2">紅綠燈!#REF!</definedName>
    <definedName name="外部資料_2581" localSheetId="2">紅綠燈!#REF!</definedName>
    <definedName name="外部資料_2583" localSheetId="2">紅綠燈!#REF!</definedName>
    <definedName name="外部資料_2584" localSheetId="2">紅綠燈!#REF!</definedName>
    <definedName name="外部資料_2585" localSheetId="2">紅綠燈!#REF!</definedName>
    <definedName name="外部資料_2587" localSheetId="2">紅綠燈!#REF!</definedName>
    <definedName name="外部資料_2588" localSheetId="2">紅綠燈!#REF!</definedName>
    <definedName name="外部資料_2589" localSheetId="2">紅綠燈!#REF!</definedName>
    <definedName name="外部資料_259" localSheetId="7">PKA!#REF!</definedName>
    <definedName name="外部資料_259" localSheetId="8">PKB!#REF!</definedName>
    <definedName name="外部資料_259" localSheetId="9">PKC!#REF!</definedName>
    <definedName name="外部資料_259" localSheetId="10">福邦!#REF!</definedName>
    <definedName name="外部資料_2591" localSheetId="2">紅綠燈!#REF!</definedName>
    <definedName name="外部資料_2592" localSheetId="2">紅綠燈!#REF!</definedName>
    <definedName name="外部資料_2593" localSheetId="2">紅綠燈!#REF!</definedName>
    <definedName name="外部資料_2595" localSheetId="2">紅綠燈!#REF!</definedName>
    <definedName name="外部資料_2596" localSheetId="2">紅綠燈!#REF!</definedName>
    <definedName name="外部資料_2597" localSheetId="2">紅綠燈!#REF!</definedName>
    <definedName name="外部資料_2599" localSheetId="2">紅綠燈!#REF!</definedName>
    <definedName name="外部資料_26" localSheetId="7">PKA!#REF!</definedName>
    <definedName name="外部資料_26" localSheetId="8">PKB!#REF!</definedName>
    <definedName name="外部資料_26" localSheetId="9">PKC!#REF!</definedName>
    <definedName name="外部資料_26" localSheetId="13">PSR!#REF!</definedName>
    <definedName name="外部資料_26" localSheetId="2">紅綠燈!#REF!</definedName>
    <definedName name="外部資料_26" localSheetId="3">評比系統!#REF!</definedName>
    <definedName name="外部資料_26" localSheetId="10">福邦!#REF!</definedName>
    <definedName name="外部資料_26" localSheetId="4">篩股系統!#REF!</definedName>
    <definedName name="外部資料_26" localSheetId="11">營收搶先報!#REF!</definedName>
    <definedName name="外部資料_260" localSheetId="7">PKA!#REF!</definedName>
    <definedName name="外部資料_260" localSheetId="8">PKB!#REF!</definedName>
    <definedName name="外部資料_260" localSheetId="9">PKC!#REF!</definedName>
    <definedName name="外部資料_260" localSheetId="2">紅綠燈!#REF!</definedName>
    <definedName name="外部資料_260" localSheetId="10">福邦!#REF!</definedName>
    <definedName name="外部資料_2600" localSheetId="2">紅綠燈!#REF!</definedName>
    <definedName name="外部資料_2601" localSheetId="2">紅綠燈!#REF!</definedName>
    <definedName name="外部資料_2603" localSheetId="2">紅綠燈!#REF!</definedName>
    <definedName name="外部資料_2604" localSheetId="2">紅綠燈!#REF!</definedName>
    <definedName name="外部資料_2605" localSheetId="2">紅綠燈!#REF!</definedName>
    <definedName name="外部資料_2607" localSheetId="2">紅綠燈!#REF!</definedName>
    <definedName name="外部資料_2608" localSheetId="2">紅綠燈!#REF!</definedName>
    <definedName name="外部資料_261" localSheetId="7">PKA!#REF!</definedName>
    <definedName name="外部資料_261" localSheetId="8">PKB!#REF!</definedName>
    <definedName name="外部資料_261" localSheetId="9">PKC!#REF!</definedName>
    <definedName name="外部資料_261" localSheetId="2">紅綠燈!#REF!</definedName>
    <definedName name="外部資料_261" localSheetId="10">福邦!#REF!</definedName>
    <definedName name="外部資料_2610" localSheetId="2">紅綠燈!#REF!</definedName>
    <definedName name="外部資料_2611" localSheetId="2">紅綠燈!#REF!</definedName>
    <definedName name="外部資料_2612" localSheetId="2">紅綠燈!#REF!</definedName>
    <definedName name="外部資料_2614" localSheetId="2">紅綠燈!#REF!</definedName>
    <definedName name="外部資料_2615" localSheetId="2">紅綠燈!#REF!</definedName>
    <definedName name="外部資料_2616" localSheetId="2">紅綠燈!#REF!</definedName>
    <definedName name="外部資料_2618" localSheetId="2">紅綠燈!#REF!</definedName>
    <definedName name="外部資料_2619" localSheetId="2">紅綠燈!#REF!</definedName>
    <definedName name="外部資料_262" localSheetId="7">PKA!#REF!</definedName>
    <definedName name="外部資料_262" localSheetId="8">PKB!#REF!</definedName>
    <definedName name="外部資料_262" localSheetId="9">PKC!#REF!</definedName>
    <definedName name="外部資料_262" localSheetId="2">紅綠燈!#REF!</definedName>
    <definedName name="外部資料_262" localSheetId="10">福邦!#REF!</definedName>
    <definedName name="外部資料_2621" localSheetId="2">紅綠燈!#REF!</definedName>
    <definedName name="外部資料_2622" localSheetId="2">紅綠燈!#REF!</definedName>
    <definedName name="外部資料_2623" localSheetId="2">紅綠燈!#REF!</definedName>
    <definedName name="外部資料_2625" localSheetId="2">紅綠燈!#REF!</definedName>
    <definedName name="外部資料_2626" localSheetId="2">紅綠燈!#REF!</definedName>
    <definedName name="外部資料_2627" localSheetId="2">紅綠燈!#REF!</definedName>
    <definedName name="外部資料_2629" localSheetId="2">紅綠燈!#REF!</definedName>
    <definedName name="外部資料_263" localSheetId="7">PKA!#REF!</definedName>
    <definedName name="外部資料_263" localSheetId="8">PKB!#REF!</definedName>
    <definedName name="外部資料_263" localSheetId="9">PKC!#REF!</definedName>
    <definedName name="外部資料_263" localSheetId="10">福邦!#REF!</definedName>
    <definedName name="外部資料_2630" localSheetId="2">紅綠燈!#REF!</definedName>
    <definedName name="外部資料_2631" localSheetId="2">紅綠燈!#REF!</definedName>
    <definedName name="外部資料_2633" localSheetId="2">紅綠燈!#REF!</definedName>
    <definedName name="外部資料_2634" localSheetId="2">紅綠燈!#REF!</definedName>
    <definedName name="外部資料_2635" localSheetId="2">紅綠燈!#REF!</definedName>
    <definedName name="外部資料_2637" localSheetId="2">紅綠燈!#REF!</definedName>
    <definedName name="外部資料_2638" localSheetId="2">紅綠燈!#REF!</definedName>
    <definedName name="外部資料_2639" localSheetId="2">紅綠燈!#REF!</definedName>
    <definedName name="外部資料_264" localSheetId="7">PKA!#REF!</definedName>
    <definedName name="外部資料_264" localSheetId="8">PKB!#REF!</definedName>
    <definedName name="外部資料_264" localSheetId="9">PKC!#REF!</definedName>
    <definedName name="外部資料_264" localSheetId="2">紅綠燈!#REF!</definedName>
    <definedName name="外部資料_264" localSheetId="10">福邦!#REF!</definedName>
    <definedName name="外部資料_2641" localSheetId="2">紅綠燈!#REF!</definedName>
    <definedName name="外部資料_2642" localSheetId="2">紅綠燈!#REF!</definedName>
    <definedName name="外部資料_2643" localSheetId="2">紅綠燈!#REF!</definedName>
    <definedName name="外部資料_2645" localSheetId="2">紅綠燈!#REF!</definedName>
    <definedName name="外部資料_2646" localSheetId="2">紅綠燈!#REF!</definedName>
    <definedName name="外部資料_2647" localSheetId="2">紅綠燈!#REF!</definedName>
    <definedName name="外部資料_2649" localSheetId="2">紅綠燈!#REF!</definedName>
    <definedName name="外部資料_265" localSheetId="7">PKA!#REF!</definedName>
    <definedName name="外部資料_265" localSheetId="8">PKB!#REF!</definedName>
    <definedName name="外部資料_265" localSheetId="9">PKC!#REF!</definedName>
    <definedName name="外部資料_265" localSheetId="2">紅綠燈!#REF!</definedName>
    <definedName name="外部資料_265" localSheetId="10">福邦!#REF!</definedName>
    <definedName name="外部資料_2650" localSheetId="2">紅綠燈!#REF!</definedName>
    <definedName name="外部資料_2651" localSheetId="2">紅綠燈!#REF!</definedName>
    <definedName name="外部資料_2653" localSheetId="2">紅綠燈!#REF!</definedName>
    <definedName name="外部資料_2654" localSheetId="2">紅綠燈!#REF!</definedName>
    <definedName name="外部資料_2655" localSheetId="2">紅綠燈!#REF!</definedName>
    <definedName name="外部資料_2657" localSheetId="2">紅綠燈!#REF!</definedName>
    <definedName name="外部資料_2658" localSheetId="2">紅綠燈!#REF!</definedName>
    <definedName name="外部資料_2659" localSheetId="2">紅綠燈!#REF!</definedName>
    <definedName name="外部資料_266" localSheetId="7">PKA!#REF!</definedName>
    <definedName name="外部資料_266" localSheetId="8">PKB!#REF!</definedName>
    <definedName name="外部資料_266" localSheetId="9">PKC!#REF!</definedName>
    <definedName name="外部資料_266" localSheetId="2">紅綠燈!#REF!</definedName>
    <definedName name="外部資料_2661" localSheetId="2">紅綠燈!#REF!</definedName>
    <definedName name="外部資料_2662" localSheetId="2">紅綠燈!#REF!</definedName>
    <definedName name="外部資料_2663" localSheetId="2">紅綠燈!#REF!</definedName>
    <definedName name="外部資料_2665" localSheetId="2">紅綠燈!#REF!</definedName>
    <definedName name="外部資料_2666" localSheetId="2">紅綠燈!#REF!</definedName>
    <definedName name="外部資料_2667" localSheetId="2">紅綠燈!#REF!</definedName>
    <definedName name="外部資料_2669" localSheetId="2">紅綠燈!#REF!</definedName>
    <definedName name="外部資料_267" localSheetId="7">PKA!#REF!</definedName>
    <definedName name="外部資料_267" localSheetId="8">PKB!#REF!</definedName>
    <definedName name="外部資料_267" localSheetId="9">PKC!#REF!</definedName>
    <definedName name="外部資料_267" localSheetId="10">福邦!#REF!</definedName>
    <definedName name="外部資料_2670" localSheetId="2">紅綠燈!#REF!</definedName>
    <definedName name="外部資料_2671" localSheetId="2">紅綠燈!#REF!</definedName>
    <definedName name="外部資料_2673" localSheetId="2">紅綠燈!#REF!</definedName>
    <definedName name="外部資料_2674" localSheetId="2">紅綠燈!#REF!</definedName>
    <definedName name="外部資料_2675" localSheetId="2">紅綠燈!#REF!</definedName>
    <definedName name="外部資料_2677" localSheetId="2">紅綠燈!#REF!</definedName>
    <definedName name="外部資料_2678" localSheetId="2">紅綠燈!#REF!</definedName>
    <definedName name="外部資料_2679" localSheetId="2">紅綠燈!#REF!</definedName>
    <definedName name="外部資料_268" localSheetId="7">PKA!#REF!</definedName>
    <definedName name="外部資料_268" localSheetId="8">PKB!#REF!</definedName>
    <definedName name="外部資料_268" localSheetId="9">PKC!#REF!</definedName>
    <definedName name="外部資料_268" localSheetId="2">紅綠燈!#REF!</definedName>
    <definedName name="外部資料_268" localSheetId="10">福邦!#REF!</definedName>
    <definedName name="外部資料_2681" localSheetId="2">紅綠燈!#REF!</definedName>
    <definedName name="外部資料_2682" localSheetId="2">紅綠燈!#REF!</definedName>
    <definedName name="外部資料_2683" localSheetId="2">紅綠燈!#REF!</definedName>
    <definedName name="外部資料_2685" localSheetId="2">紅綠燈!#REF!</definedName>
    <definedName name="外部資料_2686" localSheetId="2">紅綠燈!#REF!</definedName>
    <definedName name="外部資料_2687" localSheetId="2">紅綠燈!#REF!</definedName>
    <definedName name="外部資料_2689" localSheetId="2">紅綠燈!#REF!</definedName>
    <definedName name="外部資料_269" localSheetId="7">PKA!#REF!</definedName>
    <definedName name="外部資料_269" localSheetId="8">PKB!#REF!</definedName>
    <definedName name="外部資料_269" localSheetId="9">PKC!#REF!</definedName>
    <definedName name="外部資料_269" localSheetId="2">紅綠燈!#REF!</definedName>
    <definedName name="外部資料_269" localSheetId="10">福邦!#REF!</definedName>
    <definedName name="外部資料_2690" localSheetId="2">紅綠燈!#REF!</definedName>
    <definedName name="外部資料_2691" localSheetId="2">紅綠燈!#REF!</definedName>
    <definedName name="外部資料_2693" localSheetId="2">紅綠燈!#REF!</definedName>
    <definedName name="外部資料_2694" localSheetId="2">紅綠燈!#REF!</definedName>
    <definedName name="外部資料_2695" localSheetId="2">紅綠燈!#REF!</definedName>
    <definedName name="外部資料_2697" localSheetId="2">紅綠燈!#REF!</definedName>
    <definedName name="外部資料_2698" localSheetId="2">紅綠燈!#REF!</definedName>
    <definedName name="外部資料_2699" localSheetId="2">紅綠燈!#REF!</definedName>
    <definedName name="外部資料_27" localSheetId="7">PKA!#REF!</definedName>
    <definedName name="外部資料_27" localSheetId="8">PKB!#REF!</definedName>
    <definedName name="外部資料_27" localSheetId="9">PKC!#REF!</definedName>
    <definedName name="外部資料_27" localSheetId="13">PSR!#REF!</definedName>
    <definedName name="外部資料_27" localSheetId="2">紅綠燈!$O$120:$W$123</definedName>
    <definedName name="外部資料_27" localSheetId="3">評比系統!#REF!</definedName>
    <definedName name="外部資料_27" localSheetId="10">福邦!#REF!</definedName>
    <definedName name="外部資料_27" localSheetId="4">篩股系統!#REF!</definedName>
    <definedName name="外部資料_27" localSheetId="11">營收搶先報!#REF!</definedName>
    <definedName name="外部資料_270" localSheetId="7">PKA!#REF!</definedName>
    <definedName name="外部資料_270" localSheetId="8">PKB!#REF!</definedName>
    <definedName name="外部資料_270" localSheetId="9">PKC!#REF!</definedName>
    <definedName name="外部資料_270" localSheetId="2">紅綠燈!#REF!</definedName>
    <definedName name="外部資料_270" localSheetId="10">福邦!#REF!</definedName>
    <definedName name="外部資料_2701" localSheetId="2">紅綠燈!#REF!</definedName>
    <definedName name="外部資料_2702" localSheetId="2">紅綠燈!#REF!</definedName>
    <definedName name="外部資料_2703" localSheetId="2">紅綠燈!#REF!</definedName>
    <definedName name="外部資料_2705" localSheetId="2">紅綠燈!#REF!</definedName>
    <definedName name="外部資料_2706" localSheetId="2">紅綠燈!#REF!</definedName>
    <definedName name="外部資料_2707" localSheetId="2">紅綠燈!#REF!</definedName>
    <definedName name="外部資料_2709" localSheetId="2">紅綠燈!#REF!</definedName>
    <definedName name="外部資料_271" localSheetId="7">PKA!#REF!</definedName>
    <definedName name="外部資料_271" localSheetId="8">PKB!#REF!</definedName>
    <definedName name="外部資料_271" localSheetId="9">PKC!#REF!</definedName>
    <definedName name="外部資料_271" localSheetId="10">福邦!#REF!</definedName>
    <definedName name="外部資料_2710" localSheetId="2">紅綠燈!#REF!</definedName>
    <definedName name="外部資料_2711" localSheetId="2">紅綠燈!#REF!</definedName>
    <definedName name="外部資料_2713" localSheetId="2">紅綠燈!#REF!</definedName>
    <definedName name="外部資料_2714" localSheetId="2">紅綠燈!#REF!</definedName>
    <definedName name="外部資料_2715" localSheetId="2">紅綠燈!#REF!</definedName>
    <definedName name="外部資料_2717" localSheetId="2">紅綠燈!#REF!</definedName>
    <definedName name="外部資料_2718" localSheetId="2">紅綠燈!#REF!</definedName>
    <definedName name="外部資料_2719" localSheetId="2">紅綠燈!#REF!</definedName>
    <definedName name="外部資料_272" localSheetId="7">PKA!#REF!</definedName>
    <definedName name="外部資料_272" localSheetId="8">PKB!#REF!</definedName>
    <definedName name="外部資料_272" localSheetId="9">PKC!#REF!</definedName>
    <definedName name="外部資料_272" localSheetId="2">紅綠燈!#REF!</definedName>
    <definedName name="外部資料_272" localSheetId="10">福邦!#REF!</definedName>
    <definedName name="外部資料_2721" localSheetId="2">紅綠燈!#REF!</definedName>
    <definedName name="外部資料_2722" localSheetId="2">紅綠燈!#REF!</definedName>
    <definedName name="外部資料_2723" localSheetId="2">紅綠燈!#REF!</definedName>
    <definedName name="外部資料_2725" localSheetId="2">紅綠燈!#REF!</definedName>
    <definedName name="外部資料_2726" localSheetId="2">紅綠燈!#REF!</definedName>
    <definedName name="外部資料_2727" localSheetId="2">紅綠燈!#REF!</definedName>
    <definedName name="外部資料_2729" localSheetId="2">紅綠燈!#REF!</definedName>
    <definedName name="外部資料_273" localSheetId="7">PKA!#REF!</definedName>
    <definedName name="外部資料_273" localSheetId="8">PKB!#REF!</definedName>
    <definedName name="外部資料_273" localSheetId="9">PKC!#REF!</definedName>
    <definedName name="外部資料_273" localSheetId="2">紅綠燈!#REF!</definedName>
    <definedName name="外部資料_273" localSheetId="10">福邦!#REF!</definedName>
    <definedName name="外部資料_2730" localSheetId="2">紅綠燈!#REF!</definedName>
    <definedName name="外部資料_2731" localSheetId="2">紅綠燈!#REF!</definedName>
    <definedName name="外部資料_2733" localSheetId="2">紅綠燈!#REF!</definedName>
    <definedName name="外部資料_2734" localSheetId="2">紅綠燈!#REF!</definedName>
    <definedName name="外部資料_2735" localSheetId="2">紅綠燈!#REF!</definedName>
    <definedName name="外部資料_2737" localSheetId="2">紅綠燈!#REF!</definedName>
    <definedName name="外部資料_2738" localSheetId="2">紅綠燈!#REF!</definedName>
    <definedName name="外部資料_2739" localSheetId="2">紅綠燈!#REF!</definedName>
    <definedName name="外部資料_274" localSheetId="7">PKA!#REF!</definedName>
    <definedName name="外部資料_274" localSheetId="8">PKB!#REF!</definedName>
    <definedName name="外部資料_274" localSheetId="9">PKC!#REF!</definedName>
    <definedName name="外部資料_274" localSheetId="2">紅綠燈!#REF!</definedName>
    <definedName name="外部資料_274" localSheetId="10">福邦!#REF!</definedName>
    <definedName name="外部資料_2741" localSheetId="2">紅綠燈!#REF!</definedName>
    <definedName name="外部資料_2742" localSheetId="2">紅綠燈!#REF!</definedName>
    <definedName name="外部資料_2743" localSheetId="2">紅綠燈!#REF!</definedName>
    <definedName name="外部資料_2745" localSheetId="2">紅綠燈!#REF!</definedName>
    <definedName name="外部資料_2746" localSheetId="2">紅綠燈!#REF!</definedName>
    <definedName name="外部資料_2747" localSheetId="2">紅綠燈!#REF!</definedName>
    <definedName name="外部資料_2749" localSheetId="2">紅綠燈!#REF!</definedName>
    <definedName name="外部資料_275" localSheetId="7">PKA!#REF!</definedName>
    <definedName name="外部資料_275" localSheetId="8">PKB!#REF!</definedName>
    <definedName name="外部資料_275" localSheetId="9">PKC!#REF!</definedName>
    <definedName name="外部資料_275" localSheetId="10">福邦!#REF!</definedName>
    <definedName name="外部資料_2750" localSheetId="2">紅綠燈!#REF!</definedName>
    <definedName name="外部資料_2751" localSheetId="2">紅綠燈!#REF!</definedName>
    <definedName name="外部資料_2753" localSheetId="2">紅綠燈!#REF!</definedName>
    <definedName name="外部資料_2754" localSheetId="2">紅綠燈!#REF!</definedName>
    <definedName name="外部資料_2755" localSheetId="2">紅綠燈!#REF!</definedName>
    <definedName name="外部資料_2757" localSheetId="2">紅綠燈!#REF!</definedName>
    <definedName name="外部資料_2758" localSheetId="2">紅綠燈!#REF!</definedName>
    <definedName name="外部資料_2759" localSheetId="2">紅綠燈!#REF!</definedName>
    <definedName name="外部資料_276" localSheetId="7">PKA!#REF!</definedName>
    <definedName name="外部資料_276" localSheetId="8">PKB!#REF!</definedName>
    <definedName name="外部資料_276" localSheetId="9">PKC!#REF!</definedName>
    <definedName name="外部資料_276" localSheetId="2">紅綠燈!#REF!</definedName>
    <definedName name="外部資料_276" localSheetId="10">福邦!#REF!</definedName>
    <definedName name="外部資料_2761" localSheetId="2">紅綠燈!#REF!</definedName>
    <definedName name="外部資料_2762" localSheetId="2">紅綠燈!#REF!</definedName>
    <definedName name="外部資料_2763" localSheetId="2">紅綠燈!#REF!</definedName>
    <definedName name="外部資料_2765" localSheetId="2">紅綠燈!#REF!</definedName>
    <definedName name="外部資料_2766" localSheetId="2">紅綠燈!#REF!</definedName>
    <definedName name="外部資料_2767" localSheetId="2">紅綠燈!#REF!</definedName>
    <definedName name="外部資料_2769" localSheetId="2">紅綠燈!#REF!</definedName>
    <definedName name="外部資料_277" localSheetId="7">PKA!#REF!</definedName>
    <definedName name="外部資料_277" localSheetId="8">PKB!#REF!</definedName>
    <definedName name="外部資料_277" localSheetId="9">PKC!#REF!</definedName>
    <definedName name="外部資料_277" localSheetId="2">紅綠燈!#REF!</definedName>
    <definedName name="外部資料_277" localSheetId="10">福邦!#REF!</definedName>
    <definedName name="外部資料_2770" localSheetId="2">紅綠燈!#REF!</definedName>
    <definedName name="外部資料_2771" localSheetId="2">紅綠燈!#REF!</definedName>
    <definedName name="外部資料_2773" localSheetId="2">紅綠燈!#REF!</definedName>
    <definedName name="外部資料_2774" localSheetId="2">紅綠燈!#REF!</definedName>
    <definedName name="外部資料_2775" localSheetId="2">紅綠燈!#REF!</definedName>
    <definedName name="外部資料_2777" localSheetId="2">紅綠燈!#REF!</definedName>
    <definedName name="外部資料_2778" localSheetId="2">紅綠燈!#REF!</definedName>
    <definedName name="外部資料_2779" localSheetId="2">紅綠燈!#REF!</definedName>
    <definedName name="外部資料_278" localSheetId="7">PKA!#REF!</definedName>
    <definedName name="外部資料_278" localSheetId="8">PKB!#REF!</definedName>
    <definedName name="外部資料_278" localSheetId="9">PKC!#REF!</definedName>
    <definedName name="外部資料_278" localSheetId="2">紅綠燈!#REF!</definedName>
    <definedName name="外部資料_2781" localSheetId="2">紅綠燈!#REF!</definedName>
    <definedName name="外部資料_2782" localSheetId="2">紅綠燈!#REF!</definedName>
    <definedName name="外部資料_2783" localSheetId="2">紅綠燈!#REF!</definedName>
    <definedName name="外部資料_2785" localSheetId="2">紅綠燈!#REF!</definedName>
    <definedName name="外部資料_2786" localSheetId="2">紅綠燈!#REF!</definedName>
    <definedName name="外部資料_2787" localSheetId="2">紅綠燈!#REF!</definedName>
    <definedName name="外部資料_2789" localSheetId="2">紅綠燈!#REF!</definedName>
    <definedName name="外部資料_279" localSheetId="7">PKA!#REF!</definedName>
    <definedName name="外部資料_279" localSheetId="8">PKB!#REF!</definedName>
    <definedName name="外部資料_279" localSheetId="9">PKC!#REF!</definedName>
    <definedName name="外部資料_2790" localSheetId="2">紅綠燈!#REF!</definedName>
    <definedName name="外部資料_2792" localSheetId="2">紅綠燈!#REF!</definedName>
    <definedName name="外部資料_2793" localSheetId="2">紅綠燈!#REF!</definedName>
    <definedName name="外部資料_2794" localSheetId="2">紅綠燈!#REF!</definedName>
    <definedName name="外部資料_2796" localSheetId="2">紅綠燈!#REF!</definedName>
    <definedName name="外部資料_2797" localSheetId="2">紅綠燈!#REF!</definedName>
    <definedName name="外部資料_2798" localSheetId="2">紅綠燈!#REF!</definedName>
    <definedName name="外部資料_28" localSheetId="7">PKA!#REF!</definedName>
    <definedName name="外部資料_28" localSheetId="8">PKB!#REF!</definedName>
    <definedName name="外部資料_28" localSheetId="9">PKC!#REF!</definedName>
    <definedName name="外部資料_28" localSheetId="13">PSR!#REF!</definedName>
    <definedName name="外部資料_28" localSheetId="2">紅綠燈!#REF!</definedName>
    <definedName name="外部資料_28" localSheetId="3">評比系統!#REF!</definedName>
    <definedName name="外部資料_28" localSheetId="10">福邦!#REF!</definedName>
    <definedName name="外部資料_28" localSheetId="4">篩股系統!#REF!</definedName>
    <definedName name="外部資料_28" localSheetId="11">營收搶先報!#REF!</definedName>
    <definedName name="外部資料_280" localSheetId="7">PKA!#REF!</definedName>
    <definedName name="外部資料_280" localSheetId="8">PKB!#REF!</definedName>
    <definedName name="外部資料_280" localSheetId="9">PKC!#REF!</definedName>
    <definedName name="外部資料_280" localSheetId="2">紅綠燈!#REF!</definedName>
    <definedName name="外部資料_2800" localSheetId="2">紅綠燈!#REF!</definedName>
    <definedName name="外部資料_2801" localSheetId="2">紅綠燈!#REF!</definedName>
    <definedName name="外部資料_2802" localSheetId="2">紅綠燈!#REF!</definedName>
    <definedName name="外部資料_2804" localSheetId="2">紅綠燈!#REF!</definedName>
    <definedName name="外部資料_2805" localSheetId="2">紅綠燈!#REF!</definedName>
    <definedName name="外部資料_2806" localSheetId="2">紅綠燈!#REF!</definedName>
    <definedName name="外部資料_2808" localSheetId="2">紅綠燈!#REF!</definedName>
    <definedName name="外部資料_2809" localSheetId="2">紅綠燈!#REF!</definedName>
    <definedName name="外部資料_281" localSheetId="7">PKA!#REF!</definedName>
    <definedName name="外部資料_281" localSheetId="8">PKB!#REF!</definedName>
    <definedName name="外部資料_281" localSheetId="9">PKC!#REF!</definedName>
    <definedName name="外部資料_281" localSheetId="2">紅綠燈!#REF!</definedName>
    <definedName name="外部資料_2810" localSheetId="2">紅綠燈!#REF!</definedName>
    <definedName name="外部資料_2812" localSheetId="2">紅綠燈!#REF!</definedName>
    <definedName name="外部資料_2813" localSheetId="2">紅綠燈!#REF!</definedName>
    <definedName name="外部資料_2814" localSheetId="2">紅綠燈!#REF!</definedName>
    <definedName name="外部資料_2816" localSheetId="2">紅綠燈!#REF!</definedName>
    <definedName name="外部資料_2817" localSheetId="2">紅綠燈!#REF!</definedName>
    <definedName name="外部資料_2818" localSheetId="2">紅綠燈!#REF!</definedName>
    <definedName name="外部資料_282" localSheetId="7">PKA!#REF!</definedName>
    <definedName name="外部資料_282" localSheetId="8">PKB!#REF!</definedName>
    <definedName name="外部資料_282" localSheetId="9">PKC!#REF!</definedName>
    <definedName name="外部資料_282" localSheetId="2">紅綠燈!#REF!</definedName>
    <definedName name="外部資料_2820" localSheetId="2">紅綠燈!#REF!</definedName>
    <definedName name="外部資料_2821" localSheetId="2">紅綠燈!#REF!</definedName>
    <definedName name="外部資料_2822" localSheetId="2">紅綠燈!#REF!</definedName>
    <definedName name="外部資料_2824" localSheetId="2">紅綠燈!#REF!</definedName>
    <definedName name="外部資料_2825" localSheetId="2">紅綠燈!#REF!</definedName>
    <definedName name="外部資料_2826" localSheetId="2">紅綠燈!#REF!</definedName>
    <definedName name="外部資料_2828" localSheetId="2">紅綠燈!#REF!</definedName>
    <definedName name="外部資料_2829" localSheetId="2">紅綠燈!#REF!</definedName>
    <definedName name="外部資料_283" localSheetId="7">PKA!#REF!</definedName>
    <definedName name="外部資料_283" localSheetId="8">PKB!#REF!</definedName>
    <definedName name="外部資料_283" localSheetId="9">PKC!#REF!</definedName>
    <definedName name="外部資料_2830" localSheetId="2">紅綠燈!#REF!</definedName>
    <definedName name="外部資料_2832" localSheetId="2">紅綠燈!#REF!</definedName>
    <definedName name="外部資料_2833" localSheetId="2">紅綠燈!#REF!</definedName>
    <definedName name="外部資料_2834" localSheetId="2">紅綠燈!#REF!</definedName>
    <definedName name="外部資料_2836" localSheetId="2">紅綠燈!#REF!</definedName>
    <definedName name="外部資料_2837" localSheetId="2">紅綠燈!#REF!</definedName>
    <definedName name="外部資料_2838" localSheetId="2">紅綠燈!#REF!</definedName>
    <definedName name="外部資料_284" localSheetId="7">PKA!#REF!</definedName>
    <definedName name="外部資料_284" localSheetId="8">PKB!#REF!</definedName>
    <definedName name="外部資料_284" localSheetId="9">PKC!#REF!</definedName>
    <definedName name="外部資料_284" localSheetId="2">紅綠燈!#REF!</definedName>
    <definedName name="外部資料_2840" localSheetId="2">紅綠燈!#REF!</definedName>
    <definedName name="外部資料_2841" localSheetId="2">紅綠燈!#REF!</definedName>
    <definedName name="外部資料_2842" localSheetId="2">紅綠燈!#REF!</definedName>
    <definedName name="外部資料_2844" localSheetId="2">紅綠燈!#REF!</definedName>
    <definedName name="外部資料_2845" localSheetId="2">紅綠燈!#REF!</definedName>
    <definedName name="外部資料_2846" localSheetId="2">紅綠燈!#REF!</definedName>
    <definedName name="外部資料_2848" localSheetId="2">紅綠燈!#REF!</definedName>
    <definedName name="外部資料_2849" localSheetId="2">紅綠燈!#REF!</definedName>
    <definedName name="外部資料_285" localSheetId="7">PKA!#REF!</definedName>
    <definedName name="外部資料_285" localSheetId="8">PKB!#REF!</definedName>
    <definedName name="外部資料_285" localSheetId="9">PKC!#REF!</definedName>
    <definedName name="外部資料_285" localSheetId="2">紅綠燈!#REF!</definedName>
    <definedName name="外部資料_2850" localSheetId="2">紅綠燈!#REF!</definedName>
    <definedName name="外部資料_2852" localSheetId="2">紅綠燈!#REF!</definedName>
    <definedName name="外部資料_2853" localSheetId="2">紅綠燈!#REF!</definedName>
    <definedName name="外部資料_2854" localSheetId="2">紅綠燈!#REF!</definedName>
    <definedName name="外部資料_2856" localSheetId="2">紅綠燈!#REF!</definedName>
    <definedName name="外部資料_2857" localSheetId="2">紅綠燈!#REF!</definedName>
    <definedName name="外部資料_2858" localSheetId="2">紅綠燈!#REF!</definedName>
    <definedName name="外部資料_286" localSheetId="7">PKA!#REF!</definedName>
    <definedName name="外部資料_286" localSheetId="8">PKB!#REF!</definedName>
    <definedName name="外部資料_286" localSheetId="9">PKC!#REF!</definedName>
    <definedName name="外部資料_286" localSheetId="2">紅綠燈!#REF!</definedName>
    <definedName name="外部資料_2860" localSheetId="2">紅綠燈!#REF!</definedName>
    <definedName name="外部資料_2861" localSheetId="2">紅綠燈!#REF!</definedName>
    <definedName name="外部資料_2862" localSheetId="2">紅綠燈!#REF!</definedName>
    <definedName name="外部資料_2864" localSheetId="2">紅綠燈!#REF!</definedName>
    <definedName name="外部資料_2865" localSheetId="2">紅綠燈!#REF!</definedName>
    <definedName name="外部資料_2866" localSheetId="2">紅綠燈!#REF!</definedName>
    <definedName name="外部資料_2868" localSheetId="2">紅綠燈!#REF!</definedName>
    <definedName name="外部資料_2869" localSheetId="2">紅綠燈!#REF!</definedName>
    <definedName name="外部資料_287" localSheetId="7">PKA!#REF!</definedName>
    <definedName name="外部資料_287" localSheetId="8">PKB!#REF!</definedName>
    <definedName name="外部資料_287" localSheetId="9">PKC!#REF!</definedName>
    <definedName name="外部資料_2870" localSheetId="2">紅綠燈!#REF!</definedName>
    <definedName name="外部資料_2872" localSheetId="2">紅綠燈!#REF!</definedName>
    <definedName name="外部資料_2873" localSheetId="2">紅綠燈!#REF!</definedName>
    <definedName name="外部資料_2874" localSheetId="2">紅綠燈!#REF!</definedName>
    <definedName name="外部資料_2876" localSheetId="2">紅綠燈!#REF!</definedName>
    <definedName name="外部資料_2877" localSheetId="2">紅綠燈!#REF!</definedName>
    <definedName name="外部資料_2878" localSheetId="2">紅綠燈!#REF!</definedName>
    <definedName name="外部資料_288" localSheetId="7">PKA!#REF!</definedName>
    <definedName name="外部資料_288" localSheetId="8">PKB!#REF!</definedName>
    <definedName name="外部資料_288" localSheetId="9">PKC!#REF!</definedName>
    <definedName name="外部資料_288" localSheetId="2">紅綠燈!#REF!</definedName>
    <definedName name="外部資料_2880" localSheetId="2">紅綠燈!#REF!</definedName>
    <definedName name="外部資料_2881" localSheetId="2">紅綠燈!#REF!</definedName>
    <definedName name="外部資料_2882" localSheetId="2">紅綠燈!#REF!</definedName>
    <definedName name="外部資料_2884" localSheetId="2">紅綠燈!#REF!</definedName>
    <definedName name="外部資料_2885" localSheetId="2">紅綠燈!#REF!</definedName>
    <definedName name="外部資料_2886" localSheetId="2">紅綠燈!#REF!</definedName>
    <definedName name="外部資料_2888" localSheetId="2">紅綠燈!#REF!</definedName>
    <definedName name="外部資料_2889" localSheetId="2">紅綠燈!#REF!</definedName>
    <definedName name="外部資料_289" localSheetId="7">PKA!#REF!</definedName>
    <definedName name="外部資料_289" localSheetId="8">PKB!#REF!</definedName>
    <definedName name="外部資料_289" localSheetId="9">PKC!#REF!</definedName>
    <definedName name="外部資料_289" localSheetId="2">紅綠燈!#REF!</definedName>
    <definedName name="外部資料_2890" localSheetId="2">紅綠燈!#REF!</definedName>
    <definedName name="外部資料_2892" localSheetId="2">紅綠燈!#REF!</definedName>
    <definedName name="外部資料_2893" localSheetId="2">紅綠燈!#REF!</definedName>
    <definedName name="外部資料_2894" localSheetId="2">紅綠燈!#REF!</definedName>
    <definedName name="外部資料_2896" localSheetId="2">紅綠燈!#REF!</definedName>
    <definedName name="外部資料_2897" localSheetId="2">紅綠燈!#REF!</definedName>
    <definedName name="外部資料_2898" localSheetId="2">紅綠燈!#REF!</definedName>
    <definedName name="外部資料_29" localSheetId="7">PKA!#REF!</definedName>
    <definedName name="外部資料_29" localSheetId="8">PKB!#REF!</definedName>
    <definedName name="外部資料_29" localSheetId="9">PKC!#REF!</definedName>
    <definedName name="外部資料_29" localSheetId="13">PSR!#REF!</definedName>
    <definedName name="外部資料_29" localSheetId="2">紅綠燈!#REF!</definedName>
    <definedName name="外部資料_29" localSheetId="3">評比系統!#REF!</definedName>
    <definedName name="外部資料_29" localSheetId="10">福邦!#REF!</definedName>
    <definedName name="外部資料_29" localSheetId="4">篩股系統!#REF!</definedName>
    <definedName name="外部資料_29" localSheetId="11">營收搶先報!#REF!</definedName>
    <definedName name="外部資料_290" localSheetId="7">PKA!#REF!</definedName>
    <definedName name="外部資料_290" localSheetId="8">PKB!#REF!</definedName>
    <definedName name="外部資料_290" localSheetId="9">PKC!#REF!</definedName>
    <definedName name="外部資料_290" localSheetId="2">紅綠燈!#REF!</definedName>
    <definedName name="外部資料_2900" localSheetId="2">紅綠燈!#REF!</definedName>
    <definedName name="外部資料_2901" localSheetId="2">紅綠燈!#REF!</definedName>
    <definedName name="外部資料_2902" localSheetId="2">紅綠燈!#REF!</definedName>
    <definedName name="外部資料_2904" localSheetId="2">紅綠燈!#REF!</definedName>
    <definedName name="外部資料_2905" localSheetId="2">紅綠燈!#REF!</definedName>
    <definedName name="外部資料_2906" localSheetId="2">紅綠燈!#REF!</definedName>
    <definedName name="外部資料_2908" localSheetId="2">紅綠燈!#REF!</definedName>
    <definedName name="外部資料_2909" localSheetId="2">紅綠燈!#REF!</definedName>
    <definedName name="外部資料_291" localSheetId="7">PKA!#REF!</definedName>
    <definedName name="外部資料_291" localSheetId="8">PKB!#REF!</definedName>
    <definedName name="外部資料_291" localSheetId="9">PKC!#REF!</definedName>
    <definedName name="外部資料_2910" localSheetId="2">紅綠燈!#REF!</definedName>
    <definedName name="外部資料_2912" localSheetId="2">紅綠燈!#REF!</definedName>
    <definedName name="外部資料_2913" localSheetId="2">紅綠燈!#REF!</definedName>
    <definedName name="外部資料_2914" localSheetId="2">紅綠燈!#REF!</definedName>
    <definedName name="外部資料_2916" localSheetId="2">紅綠燈!#REF!</definedName>
    <definedName name="外部資料_2917" localSheetId="2">紅綠燈!#REF!</definedName>
    <definedName name="外部資料_2918" localSheetId="2">紅綠燈!#REF!</definedName>
    <definedName name="外部資料_292" localSheetId="7">PKA!#REF!</definedName>
    <definedName name="外部資料_292" localSheetId="8">PKB!#REF!</definedName>
    <definedName name="外部資料_292" localSheetId="9">PKC!#REF!</definedName>
    <definedName name="外部資料_292" localSheetId="2">紅綠燈!#REF!</definedName>
    <definedName name="外部資料_2920" localSheetId="2">紅綠燈!#REF!</definedName>
    <definedName name="外部資料_2921" localSheetId="2">紅綠燈!#REF!</definedName>
    <definedName name="外部資料_2922" localSheetId="2">紅綠燈!#REF!</definedName>
    <definedName name="外部資料_2924" localSheetId="2">紅綠燈!#REF!</definedName>
    <definedName name="外部資料_2925" localSheetId="2">紅綠燈!#REF!</definedName>
    <definedName name="外部資料_2926" localSheetId="2">紅綠燈!#REF!</definedName>
    <definedName name="外部資料_2928" localSheetId="2">紅綠燈!#REF!</definedName>
    <definedName name="外部資料_2929" localSheetId="2">紅綠燈!#REF!</definedName>
    <definedName name="外部資料_293" localSheetId="7">PKA!#REF!</definedName>
    <definedName name="外部資料_293" localSheetId="8">PKB!#REF!</definedName>
    <definedName name="外部資料_293" localSheetId="9">PKC!#REF!</definedName>
    <definedName name="外部資料_293" localSheetId="2">紅綠燈!#REF!</definedName>
    <definedName name="外部資料_2930" localSheetId="2">紅綠燈!#REF!</definedName>
    <definedName name="外部資料_2932" localSheetId="2">紅綠燈!#REF!</definedName>
    <definedName name="外部資料_2933" localSheetId="2">紅綠燈!#REF!</definedName>
    <definedName name="外部資料_2934" localSheetId="2">紅綠燈!#REF!</definedName>
    <definedName name="外部資料_2936" localSheetId="2">紅綠燈!#REF!</definedName>
    <definedName name="外部資料_2937" localSheetId="2">紅綠燈!#REF!</definedName>
    <definedName name="外部資料_2938" localSheetId="2">紅綠燈!#REF!</definedName>
    <definedName name="外部資料_294" localSheetId="7">PKA!#REF!</definedName>
    <definedName name="外部資料_294" localSheetId="8">PKB!#REF!</definedName>
    <definedName name="外部資料_294" localSheetId="9">PKC!#REF!</definedName>
    <definedName name="外部資料_294" localSheetId="2">紅綠燈!#REF!</definedName>
    <definedName name="外部資料_2940" localSheetId="2">紅綠燈!#REF!</definedName>
    <definedName name="外部資料_2941" localSheetId="2">紅綠燈!#REF!</definedName>
    <definedName name="外部資料_2942" localSheetId="2">紅綠燈!#REF!</definedName>
    <definedName name="外部資料_2944" localSheetId="2">紅綠燈!#REF!</definedName>
    <definedName name="外部資料_2945" localSheetId="2">紅綠燈!#REF!</definedName>
    <definedName name="外部資料_2946" localSheetId="2">紅綠燈!#REF!</definedName>
    <definedName name="外部資料_2948" localSheetId="2">紅綠燈!#REF!</definedName>
    <definedName name="外部資料_2949" localSheetId="2">紅綠燈!#REF!</definedName>
    <definedName name="外部資料_295" localSheetId="7">PKA!#REF!</definedName>
    <definedName name="外部資料_295" localSheetId="8">PKB!#REF!</definedName>
    <definedName name="外部資料_295" localSheetId="9">PKC!#REF!</definedName>
    <definedName name="外部資料_2950" localSheetId="2">紅綠燈!#REF!</definedName>
    <definedName name="外部資料_2952" localSheetId="2">紅綠燈!#REF!</definedName>
    <definedName name="外部資料_2953" localSheetId="2">紅綠燈!#REF!</definedName>
    <definedName name="外部資料_2954" localSheetId="2">紅綠燈!#REF!</definedName>
    <definedName name="外部資料_2956" localSheetId="2">紅綠燈!#REF!</definedName>
    <definedName name="外部資料_2957" localSheetId="2">紅綠燈!#REF!</definedName>
    <definedName name="外部資料_2958" localSheetId="2">紅綠燈!#REF!</definedName>
    <definedName name="外部資料_296" localSheetId="7">PKA!#REF!</definedName>
    <definedName name="外部資料_296" localSheetId="8">PKB!#REF!</definedName>
    <definedName name="外部資料_296" localSheetId="9">PKC!#REF!</definedName>
    <definedName name="外部資料_296" localSheetId="2">紅綠燈!#REF!</definedName>
    <definedName name="外部資料_2960" localSheetId="2">紅綠燈!#REF!</definedName>
    <definedName name="外部資料_2961" localSheetId="2">紅綠燈!#REF!</definedName>
    <definedName name="外部資料_2962" localSheetId="2">紅綠燈!#REF!</definedName>
    <definedName name="外部資料_2964" localSheetId="2">紅綠燈!#REF!</definedName>
    <definedName name="外部資料_2965" localSheetId="2">紅綠燈!#REF!</definedName>
    <definedName name="外部資料_2966" localSheetId="2">紅綠燈!#REF!</definedName>
    <definedName name="外部資料_2968" localSheetId="2">紅綠燈!#REF!</definedName>
    <definedName name="外部資料_2969" localSheetId="2">紅綠燈!#REF!</definedName>
    <definedName name="外部資料_297" localSheetId="7">PKA!#REF!</definedName>
    <definedName name="外部資料_297" localSheetId="8">PKB!#REF!</definedName>
    <definedName name="外部資料_297" localSheetId="9">PKC!#REF!</definedName>
    <definedName name="外部資料_297" localSheetId="2">紅綠燈!#REF!</definedName>
    <definedName name="外部資料_2970" localSheetId="2">紅綠燈!#REF!</definedName>
    <definedName name="外部資料_2972" localSheetId="2">紅綠燈!#REF!</definedName>
    <definedName name="外部資料_2973" localSheetId="2">紅綠燈!#REF!</definedName>
    <definedName name="外部資料_2974" localSheetId="2">紅綠燈!#REF!</definedName>
    <definedName name="外部資料_2976" localSheetId="2">紅綠燈!#REF!</definedName>
    <definedName name="外部資料_2977" localSheetId="2">紅綠燈!#REF!</definedName>
    <definedName name="外部資料_2978" localSheetId="2">紅綠燈!#REF!</definedName>
    <definedName name="外部資料_298" localSheetId="7">PKA!#REF!</definedName>
    <definedName name="外部資料_298" localSheetId="8">PKB!#REF!</definedName>
    <definedName name="外部資料_298" localSheetId="9">PKC!#REF!</definedName>
    <definedName name="外部資料_298" localSheetId="2">紅綠燈!#REF!</definedName>
    <definedName name="外部資料_2980" localSheetId="2">紅綠燈!#REF!</definedName>
    <definedName name="外部資料_2981" localSheetId="2">紅綠燈!#REF!</definedName>
    <definedName name="外部資料_2982" localSheetId="2">紅綠燈!#REF!</definedName>
    <definedName name="外部資料_2984" localSheetId="2">紅綠燈!#REF!</definedName>
    <definedName name="外部資料_2985" localSheetId="2">紅綠燈!#REF!</definedName>
    <definedName name="外部資料_2986" localSheetId="2">紅綠燈!#REF!</definedName>
    <definedName name="外部資料_2988" localSheetId="2">紅綠燈!#REF!</definedName>
    <definedName name="外部資料_2989" localSheetId="2">紅綠燈!#REF!</definedName>
    <definedName name="外部資料_299" localSheetId="7">PKA!#REF!</definedName>
    <definedName name="外部資料_299" localSheetId="8">PKB!#REF!</definedName>
    <definedName name="外部資料_299" localSheetId="9">PKC!#REF!</definedName>
    <definedName name="外部資料_2990" localSheetId="2">紅綠燈!#REF!</definedName>
    <definedName name="外部資料_2992" localSheetId="2">紅綠燈!#REF!</definedName>
    <definedName name="外部資料_2993" localSheetId="2">紅綠燈!#REF!</definedName>
    <definedName name="外部資料_2994" localSheetId="2">紅綠燈!#REF!</definedName>
    <definedName name="外部資料_2996" localSheetId="2">紅綠燈!#REF!</definedName>
    <definedName name="外部資料_2997" localSheetId="2">紅綠燈!#REF!</definedName>
    <definedName name="外部資料_2998" localSheetId="2">紅綠燈!#REF!</definedName>
    <definedName name="外部資料_3" localSheetId="7">PKA!#REF!</definedName>
    <definedName name="外部資料_3" localSheetId="8">PKB!#REF!</definedName>
    <definedName name="外部資料_3" localSheetId="9">PKC!#REF!</definedName>
    <definedName name="外部資料_3" localSheetId="13">PSR!#REF!</definedName>
    <definedName name="外部資料_3" localSheetId="2">紅綠燈!#REF!</definedName>
    <definedName name="外部資料_3" localSheetId="3">評比系統!#REF!</definedName>
    <definedName name="外部資料_3" localSheetId="10">福邦!#REF!</definedName>
    <definedName name="外部資料_3" localSheetId="4">篩股系統!#REF!</definedName>
    <definedName name="外部資料_3" localSheetId="11">營收搶先報!#REF!</definedName>
    <definedName name="外部資料_30" localSheetId="7">PKA!#REF!</definedName>
    <definedName name="外部資料_30" localSheetId="8">PKB!#REF!</definedName>
    <definedName name="外部資料_30" localSheetId="9">PKC!#REF!</definedName>
    <definedName name="外部資料_30" localSheetId="13">PSR!#REF!</definedName>
    <definedName name="外部資料_30" localSheetId="2">紅綠燈!#REF!</definedName>
    <definedName name="外部資料_30" localSheetId="3">評比系統!#REF!</definedName>
    <definedName name="外部資料_30" localSheetId="10">福邦!#REF!</definedName>
    <definedName name="外部資料_30" localSheetId="4">篩股系統!#REF!</definedName>
    <definedName name="外部資料_30" localSheetId="11">營收搶先報!#REF!</definedName>
    <definedName name="外部資料_300" localSheetId="7">PKA!#REF!</definedName>
    <definedName name="外部資料_300" localSheetId="8">PKB!#REF!</definedName>
    <definedName name="外部資料_300" localSheetId="9">PKC!#REF!</definedName>
    <definedName name="外部資料_300" localSheetId="2">紅綠燈!#REF!</definedName>
    <definedName name="外部資料_3000" localSheetId="2">紅綠燈!#REF!</definedName>
    <definedName name="外部資料_3001" localSheetId="2">紅綠燈!#REF!</definedName>
    <definedName name="外部資料_3002" localSheetId="2">紅綠燈!#REF!</definedName>
    <definedName name="外部資料_3004" localSheetId="2">紅綠燈!#REF!</definedName>
    <definedName name="外部資料_3005" localSheetId="2">紅綠燈!#REF!</definedName>
    <definedName name="外部資料_3006" localSheetId="2">紅綠燈!#REF!</definedName>
    <definedName name="外部資料_3008" localSheetId="2">紅綠燈!#REF!</definedName>
    <definedName name="外部資料_3009" localSheetId="2">紅綠燈!#REF!</definedName>
    <definedName name="外部資料_301" localSheetId="7">PKA!#REF!</definedName>
    <definedName name="外部資料_301" localSheetId="8">PKB!#REF!</definedName>
    <definedName name="外部資料_301" localSheetId="9">PKC!#REF!</definedName>
    <definedName name="外部資料_301" localSheetId="2">紅綠燈!#REF!</definedName>
    <definedName name="外部資料_3011" localSheetId="2">紅綠燈!#REF!</definedName>
    <definedName name="外部資料_3012" localSheetId="2">紅綠燈!#REF!</definedName>
    <definedName name="外部資料_3013" localSheetId="2">紅綠燈!#REF!</definedName>
    <definedName name="外部資料_3015" localSheetId="2">紅綠燈!#REF!</definedName>
    <definedName name="外部資料_3016" localSheetId="2">紅綠燈!#REF!</definedName>
    <definedName name="外部資料_3017" localSheetId="2">紅綠燈!#REF!</definedName>
    <definedName name="外部資料_3019" localSheetId="2">紅綠燈!#REF!</definedName>
    <definedName name="外部資料_302" localSheetId="7">PKA!#REF!</definedName>
    <definedName name="外部資料_302" localSheetId="8">PKB!#REF!</definedName>
    <definedName name="外部資料_302" localSheetId="9">PKC!#REF!</definedName>
    <definedName name="外部資料_302" localSheetId="2">紅綠燈!#REF!</definedName>
    <definedName name="外部資料_3020" localSheetId="2">紅綠燈!#REF!</definedName>
    <definedName name="外部資料_3022" localSheetId="2">紅綠燈!#REF!</definedName>
    <definedName name="外部資料_3023" localSheetId="2">紅綠燈!#REF!</definedName>
    <definedName name="外部資料_3024" localSheetId="2">紅綠燈!#REF!</definedName>
    <definedName name="外部資料_3026" localSheetId="2">紅綠燈!#REF!</definedName>
    <definedName name="外部資料_3027" localSheetId="2">紅綠燈!#REF!</definedName>
    <definedName name="外部資料_3028" localSheetId="2">紅綠燈!#REF!</definedName>
    <definedName name="外部資料_303" localSheetId="7">PKA!#REF!</definedName>
    <definedName name="外部資料_303" localSheetId="8">PKB!#REF!</definedName>
    <definedName name="外部資料_303" localSheetId="9">PKC!#REF!</definedName>
    <definedName name="外部資料_3030" localSheetId="2">紅綠燈!#REF!</definedName>
    <definedName name="外部資料_3031" localSheetId="2">紅綠燈!#REF!</definedName>
    <definedName name="外部資料_3032" localSheetId="2">紅綠燈!#REF!</definedName>
    <definedName name="外部資料_3034" localSheetId="2">紅綠燈!#REF!</definedName>
    <definedName name="外部資料_3035" localSheetId="2">紅綠燈!#REF!</definedName>
    <definedName name="外部資料_3036" localSheetId="2">紅綠燈!#REF!</definedName>
    <definedName name="外部資料_3038" localSheetId="2">紅綠燈!#REF!</definedName>
    <definedName name="外部資料_3039" localSheetId="2">紅綠燈!#REF!</definedName>
    <definedName name="外部資料_304" localSheetId="7">PKA!#REF!</definedName>
    <definedName name="外部資料_304" localSheetId="8">PKB!#REF!</definedName>
    <definedName name="外部資料_304" localSheetId="9">PKC!#REF!</definedName>
    <definedName name="外部資料_304" localSheetId="2">紅綠燈!#REF!</definedName>
    <definedName name="外部資料_3040" localSheetId="2">紅綠燈!#REF!</definedName>
    <definedName name="外部資料_3042" localSheetId="2">紅綠燈!#REF!</definedName>
    <definedName name="外部資料_3043" localSheetId="2">紅綠燈!#REF!</definedName>
    <definedName name="外部資料_3044" localSheetId="2">紅綠燈!#REF!</definedName>
    <definedName name="外部資料_3046" localSheetId="2">紅綠燈!#REF!</definedName>
    <definedName name="外部資料_3047" localSheetId="2">紅綠燈!#REF!</definedName>
    <definedName name="外部資料_3048" localSheetId="2">紅綠燈!#REF!</definedName>
    <definedName name="外部資料_305" localSheetId="7">PKA!#REF!</definedName>
    <definedName name="外部資料_305" localSheetId="8">PKB!#REF!</definedName>
    <definedName name="外部資料_305" localSheetId="9">PKC!#REF!</definedName>
    <definedName name="外部資料_305" localSheetId="2">紅綠燈!#REF!</definedName>
    <definedName name="外部資料_3050" localSheetId="2">紅綠燈!#REF!</definedName>
    <definedName name="外部資料_3051" localSheetId="2">紅綠燈!#REF!</definedName>
    <definedName name="外部資料_3053" localSheetId="2">紅綠燈!#REF!</definedName>
    <definedName name="外部資料_3054" localSheetId="2">紅綠燈!#REF!</definedName>
    <definedName name="外部資料_3056" localSheetId="2">紅綠燈!#REF!</definedName>
    <definedName name="外部資料_3057" localSheetId="2">紅綠燈!#REF!</definedName>
    <definedName name="外部資料_3058" localSheetId="2">紅綠燈!#REF!</definedName>
    <definedName name="外部資料_306" localSheetId="7">PKA!#REF!</definedName>
    <definedName name="外部資料_306" localSheetId="8">PKB!#REF!</definedName>
    <definedName name="外部資料_306" localSheetId="9">PKC!#REF!</definedName>
    <definedName name="外部資料_306" localSheetId="2">紅綠燈!#REF!</definedName>
    <definedName name="外部資料_3060" localSheetId="2">紅綠燈!#REF!</definedName>
    <definedName name="外部資料_3061" localSheetId="2">紅綠燈!#REF!</definedName>
    <definedName name="外部資料_3062" localSheetId="2">紅綠燈!#REF!</definedName>
    <definedName name="外部資料_3064" localSheetId="2">紅綠燈!#REF!</definedName>
    <definedName name="外部資料_3065" localSheetId="2">紅綠燈!#REF!</definedName>
    <definedName name="外部資料_3066" localSheetId="2">紅綠燈!#REF!</definedName>
    <definedName name="外部資料_3068" localSheetId="2">紅綠燈!#REF!</definedName>
    <definedName name="外部資料_3069" localSheetId="2">紅綠燈!#REF!</definedName>
    <definedName name="外部資料_307" localSheetId="7">PKA!#REF!</definedName>
    <definedName name="外部資料_307" localSheetId="8">PKB!#REF!</definedName>
    <definedName name="外部資料_307" localSheetId="9">PKC!#REF!</definedName>
    <definedName name="外部資料_3070" localSheetId="2">紅綠燈!#REF!</definedName>
    <definedName name="外部資料_3072" localSheetId="2">紅綠燈!#REF!</definedName>
    <definedName name="外部資料_3073" localSheetId="2">紅綠燈!#REF!</definedName>
    <definedName name="外部資料_3074" localSheetId="2">紅綠燈!#REF!</definedName>
    <definedName name="外部資料_3076" localSheetId="2">紅綠燈!#REF!</definedName>
    <definedName name="外部資料_3077" localSheetId="2">紅綠燈!#REF!</definedName>
    <definedName name="外部資料_3078" localSheetId="2">紅綠燈!#REF!</definedName>
    <definedName name="外部資料_308" localSheetId="7">PKA!#REF!</definedName>
    <definedName name="外部資料_308" localSheetId="8">PKB!#REF!</definedName>
    <definedName name="外部資料_308" localSheetId="9">PKC!#REF!</definedName>
    <definedName name="外部資料_308" localSheetId="2">紅綠燈!#REF!</definedName>
    <definedName name="外部資料_3080" localSheetId="2">紅綠燈!#REF!</definedName>
    <definedName name="外部資料_3081" localSheetId="2">紅綠燈!#REF!</definedName>
    <definedName name="外部資料_3082" localSheetId="2">紅綠燈!#REF!</definedName>
    <definedName name="外部資料_3084" localSheetId="2">紅綠燈!#REF!</definedName>
    <definedName name="外部資料_3085" localSheetId="2">紅綠燈!#REF!</definedName>
    <definedName name="外部資料_3086" localSheetId="2">紅綠燈!#REF!</definedName>
    <definedName name="外部資料_3088" localSheetId="2">紅綠燈!#REF!</definedName>
    <definedName name="外部資料_3089" localSheetId="2">紅綠燈!#REF!</definedName>
    <definedName name="外部資料_309" localSheetId="7">PKA!#REF!</definedName>
    <definedName name="外部資料_309" localSheetId="8">PKB!#REF!</definedName>
    <definedName name="外部資料_309" localSheetId="9">PKC!#REF!</definedName>
    <definedName name="外部資料_309" localSheetId="2">紅綠燈!#REF!</definedName>
    <definedName name="外部資料_3090" localSheetId="2">紅綠燈!#REF!</definedName>
    <definedName name="外部資料_3092" localSheetId="2">紅綠燈!#REF!</definedName>
    <definedName name="外部資料_3093" localSheetId="2">紅綠燈!#REF!</definedName>
    <definedName name="外部資料_3094" localSheetId="2">紅綠燈!#REF!</definedName>
    <definedName name="外部資料_3096" localSheetId="2">紅綠燈!#REF!</definedName>
    <definedName name="外部資料_3097" localSheetId="2">紅綠燈!#REF!</definedName>
    <definedName name="外部資料_3098" localSheetId="2">紅綠燈!#REF!</definedName>
    <definedName name="外部資料_31" localSheetId="7">PKA!#REF!</definedName>
    <definedName name="外部資料_31" localSheetId="8">PKB!#REF!</definedName>
    <definedName name="外部資料_31" localSheetId="9">PKC!#REF!</definedName>
    <definedName name="外部資料_31" localSheetId="13">PSR!#REF!</definedName>
    <definedName name="外部資料_31" localSheetId="3">評比系統!#REF!</definedName>
    <definedName name="外部資料_31" localSheetId="10">福邦!#REF!</definedName>
    <definedName name="外部資料_31" localSheetId="4">篩股系統!#REF!</definedName>
    <definedName name="外部資料_31" localSheetId="11">營收搶先報!#REF!</definedName>
    <definedName name="外部資料_310" localSheetId="7">PKA!#REF!</definedName>
    <definedName name="外部資料_310" localSheetId="8">PKB!#REF!</definedName>
    <definedName name="外部資料_310" localSheetId="9">PKC!#REF!</definedName>
    <definedName name="外部資料_310" localSheetId="2">紅綠燈!#REF!</definedName>
    <definedName name="外部資料_3100" localSheetId="2">紅綠燈!#REF!</definedName>
    <definedName name="外部資料_3101" localSheetId="2">紅綠燈!#REF!</definedName>
    <definedName name="外部資料_3102" localSheetId="2">紅綠燈!#REF!</definedName>
    <definedName name="外部資料_3104" localSheetId="2">紅綠燈!#REF!</definedName>
    <definedName name="外部資料_3105" localSheetId="2">紅綠燈!#REF!</definedName>
    <definedName name="外部資料_3106" localSheetId="2">紅綠燈!#REF!</definedName>
    <definedName name="外部資料_3108" localSheetId="2">紅綠燈!#REF!</definedName>
    <definedName name="外部資料_3109" localSheetId="2">紅綠燈!#REF!</definedName>
    <definedName name="外部資料_311" localSheetId="7">PKA!#REF!</definedName>
    <definedName name="外部資料_311" localSheetId="8">PKB!#REF!</definedName>
    <definedName name="外部資料_311" localSheetId="9">PKC!#REF!</definedName>
    <definedName name="外部資料_3110" localSheetId="2">紅綠燈!#REF!</definedName>
    <definedName name="外部資料_3112" localSheetId="2">紅綠燈!#REF!</definedName>
    <definedName name="外部資料_3113" localSheetId="2">紅綠燈!#REF!</definedName>
    <definedName name="外部資料_3114" localSheetId="2">紅綠燈!#REF!</definedName>
    <definedName name="外部資料_3116" localSheetId="2">紅綠燈!#REF!</definedName>
    <definedName name="外部資料_3117" localSheetId="2">紅綠燈!#REF!</definedName>
    <definedName name="外部資料_3119" localSheetId="2">紅綠燈!#REF!</definedName>
    <definedName name="外部資料_312" localSheetId="7">PKA!#REF!</definedName>
    <definedName name="外部資料_312" localSheetId="8">PKB!#REF!</definedName>
    <definedName name="外部資料_312" localSheetId="9">PKC!#REF!</definedName>
    <definedName name="外部資料_312" localSheetId="2">紅綠燈!#REF!</definedName>
    <definedName name="外部資料_3120" localSheetId="2">紅綠燈!#REF!</definedName>
    <definedName name="外部資料_3121" localSheetId="2">紅綠燈!#REF!</definedName>
    <definedName name="外部資料_3123" localSheetId="2">紅綠燈!#REF!</definedName>
    <definedName name="外部資料_3124" localSheetId="2">紅綠燈!#REF!</definedName>
    <definedName name="外部資料_3125" localSheetId="2">紅綠燈!#REF!</definedName>
    <definedName name="外部資料_3127" localSheetId="2">紅綠燈!#REF!</definedName>
    <definedName name="外部資料_3128" localSheetId="2">紅綠燈!#REF!</definedName>
    <definedName name="外部資料_3129" localSheetId="2">紅綠燈!#REF!</definedName>
    <definedName name="外部資料_313" localSheetId="7">PKA!#REF!</definedName>
    <definedName name="外部資料_313" localSheetId="8">PKB!#REF!</definedName>
    <definedName name="外部資料_313" localSheetId="9">PKC!#REF!</definedName>
    <definedName name="外部資料_313" localSheetId="2">紅綠燈!#REF!</definedName>
    <definedName name="外部資料_3131" localSheetId="2">紅綠燈!#REF!</definedName>
    <definedName name="外部資料_3132" localSheetId="2">紅綠燈!#REF!</definedName>
    <definedName name="外部資料_3133" localSheetId="2">紅綠燈!#REF!</definedName>
    <definedName name="外部資料_3135" localSheetId="2">紅綠燈!#REF!</definedName>
    <definedName name="外部資料_3136" localSheetId="2">紅綠燈!#REF!</definedName>
    <definedName name="外部資料_3137" localSheetId="2">紅綠燈!#REF!</definedName>
    <definedName name="外部資料_3139" localSheetId="2">紅綠燈!#REF!</definedName>
    <definedName name="外部資料_314" localSheetId="7">PKA!#REF!</definedName>
    <definedName name="外部資料_314" localSheetId="8">PKB!#REF!</definedName>
    <definedName name="外部資料_314" localSheetId="9">PKC!#REF!</definedName>
    <definedName name="外部資料_314" localSheetId="2">紅綠燈!#REF!</definedName>
    <definedName name="外部資料_3140" localSheetId="2">紅綠燈!#REF!</definedName>
    <definedName name="外部資料_3141" localSheetId="2">紅綠燈!#REF!</definedName>
    <definedName name="外部資料_3143" localSheetId="2">紅綠燈!#REF!</definedName>
    <definedName name="外部資料_3144" localSheetId="2">紅綠燈!#REF!</definedName>
    <definedName name="外部資料_3145" localSheetId="2">紅綠燈!#REF!</definedName>
    <definedName name="外部資料_3147" localSheetId="2">紅綠燈!#REF!</definedName>
    <definedName name="外部資料_3148" localSheetId="2">紅綠燈!#REF!</definedName>
    <definedName name="外部資料_3149" localSheetId="2">紅綠燈!#REF!</definedName>
    <definedName name="外部資料_315" localSheetId="7">PKA!#REF!</definedName>
    <definedName name="外部資料_315" localSheetId="8">PKB!#REF!</definedName>
    <definedName name="外部資料_315" localSheetId="9">PKC!#REF!</definedName>
    <definedName name="外部資料_3151" localSheetId="2">紅綠燈!#REF!</definedName>
    <definedName name="外部資料_3152" localSheetId="2">紅綠燈!#REF!</definedName>
    <definedName name="外部資料_3153" localSheetId="2">紅綠燈!#REF!</definedName>
    <definedName name="外部資料_3155" localSheetId="2">紅綠燈!#REF!</definedName>
    <definedName name="外部資料_3156" localSheetId="2">紅綠燈!#REF!</definedName>
    <definedName name="外部資料_3157" localSheetId="2">紅綠燈!#REF!</definedName>
    <definedName name="外部資料_3159" localSheetId="2">紅綠燈!#REF!</definedName>
    <definedName name="外部資料_316" localSheetId="7">PKA!#REF!</definedName>
    <definedName name="外部資料_316" localSheetId="8">PKB!#REF!</definedName>
    <definedName name="外部資料_316" localSheetId="9">PKC!#REF!</definedName>
    <definedName name="外部資料_316" localSheetId="2">紅綠燈!#REF!</definedName>
    <definedName name="外部資料_3160" localSheetId="2">紅綠燈!#REF!</definedName>
    <definedName name="外部資料_3161" localSheetId="2">紅綠燈!#REF!</definedName>
    <definedName name="外部資料_3163" localSheetId="2">紅綠燈!#REF!</definedName>
    <definedName name="外部資料_3164" localSheetId="2">紅綠燈!#REF!</definedName>
    <definedName name="外部資料_3165" localSheetId="2">紅綠燈!#REF!</definedName>
    <definedName name="外部資料_3167" localSheetId="2">紅綠燈!#REF!</definedName>
    <definedName name="外部資料_3168" localSheetId="2">紅綠燈!#REF!</definedName>
    <definedName name="外部資料_3169" localSheetId="2">紅綠燈!#REF!</definedName>
    <definedName name="外部資料_317" localSheetId="7">PKA!#REF!</definedName>
    <definedName name="外部資料_317" localSheetId="8">PKB!#REF!</definedName>
    <definedName name="外部資料_317" localSheetId="9">PKC!#REF!</definedName>
    <definedName name="外部資料_317" localSheetId="2">紅綠燈!#REF!</definedName>
    <definedName name="外部資料_3171" localSheetId="2">紅綠燈!#REF!</definedName>
    <definedName name="外部資料_3172" localSheetId="2">紅綠燈!#REF!</definedName>
    <definedName name="外部資料_3173" localSheetId="2">紅綠燈!#REF!</definedName>
    <definedName name="外部資料_3175" localSheetId="2">紅綠燈!#REF!</definedName>
    <definedName name="外部資料_3176" localSheetId="2">紅綠燈!#REF!</definedName>
    <definedName name="外部資料_3177" localSheetId="2">紅綠燈!#REF!</definedName>
    <definedName name="外部資料_3179" localSheetId="2">紅綠燈!#REF!</definedName>
    <definedName name="外部資料_318" localSheetId="7">PKA!#REF!</definedName>
    <definedName name="外部資料_318" localSheetId="8">PKB!#REF!</definedName>
    <definedName name="外部資料_318" localSheetId="9">PKC!#REF!</definedName>
    <definedName name="外部資料_318" localSheetId="2">紅綠燈!#REF!</definedName>
    <definedName name="外部資料_3180" localSheetId="2">紅綠燈!#REF!</definedName>
    <definedName name="外部資料_3181" localSheetId="2">紅綠燈!#REF!</definedName>
    <definedName name="外部資料_3183" localSheetId="2">紅綠燈!#REF!</definedName>
    <definedName name="外部資料_3184" localSheetId="2">紅綠燈!#REF!</definedName>
    <definedName name="外部資料_3185" localSheetId="2">紅綠燈!#REF!</definedName>
    <definedName name="外部資料_3187" localSheetId="2">紅綠燈!#REF!</definedName>
    <definedName name="外部資料_3188" localSheetId="2">紅綠燈!#REF!</definedName>
    <definedName name="外部資料_3189" localSheetId="2">紅綠燈!#REF!</definedName>
    <definedName name="外部資料_319" localSheetId="7">PKA!#REF!</definedName>
    <definedName name="外部資料_319" localSheetId="8">PKB!#REF!</definedName>
    <definedName name="外部資料_319" localSheetId="9">PKC!#REF!</definedName>
    <definedName name="外部資料_3191" localSheetId="2">紅綠燈!#REF!</definedName>
    <definedName name="外部資料_3192" localSheetId="2">紅綠燈!#REF!</definedName>
    <definedName name="外部資料_3193" localSheetId="2">紅綠燈!#REF!</definedName>
    <definedName name="外部資料_3195" localSheetId="2">紅綠燈!#REF!</definedName>
    <definedName name="外部資料_3196" localSheetId="2">紅綠燈!#REF!</definedName>
    <definedName name="外部資料_3197" localSheetId="2">紅綠燈!#REF!</definedName>
    <definedName name="外部資料_3199" localSheetId="2">紅綠燈!#REF!</definedName>
    <definedName name="外部資料_32" localSheetId="7">PKA!#REF!</definedName>
    <definedName name="外部資料_32" localSheetId="8">PKB!#REF!</definedName>
    <definedName name="外部資料_32" localSheetId="9">PKC!#REF!</definedName>
    <definedName name="外部資料_32" localSheetId="13">PSR!#REF!</definedName>
    <definedName name="外部資料_32" localSheetId="2">紅綠燈!#REF!</definedName>
    <definedName name="外部資料_32" localSheetId="3">評比系統!#REF!</definedName>
    <definedName name="外部資料_32" localSheetId="4">篩股系統!#REF!</definedName>
    <definedName name="外部資料_32" localSheetId="11">營收搶先報!#REF!</definedName>
    <definedName name="外部資料_320" localSheetId="7">PKA!#REF!</definedName>
    <definedName name="外部資料_320" localSheetId="8">PKB!#REF!</definedName>
    <definedName name="外部資料_320" localSheetId="9">PKC!#REF!</definedName>
    <definedName name="外部資料_320" localSheetId="2">紅綠燈!#REF!</definedName>
    <definedName name="外部資料_3200" localSheetId="2">紅綠燈!#REF!</definedName>
    <definedName name="外部資料_3201" localSheetId="2">紅綠燈!#REF!</definedName>
    <definedName name="外部資料_3203" localSheetId="2">紅綠燈!#REF!</definedName>
    <definedName name="外部資料_3204" localSheetId="2">紅綠燈!#REF!</definedName>
    <definedName name="外部資料_3205" localSheetId="2">紅綠燈!#REF!</definedName>
    <definedName name="外部資料_3207" localSheetId="2">紅綠燈!#REF!</definedName>
    <definedName name="外部資料_3208" localSheetId="2">紅綠燈!#REF!</definedName>
    <definedName name="外部資料_3209" localSheetId="2">紅綠燈!#REF!</definedName>
    <definedName name="外部資料_321" localSheetId="7">PKA!#REF!</definedName>
    <definedName name="外部資料_321" localSheetId="8">PKB!#REF!</definedName>
    <definedName name="外部資料_321" localSheetId="9">PKC!#REF!</definedName>
    <definedName name="外部資料_321" localSheetId="2">紅綠燈!#REF!</definedName>
    <definedName name="外部資料_3211" localSheetId="2">紅綠燈!#REF!</definedName>
    <definedName name="外部資料_3212" localSheetId="2">紅綠燈!#REF!</definedName>
    <definedName name="外部資料_3213" localSheetId="2">紅綠燈!#REF!</definedName>
    <definedName name="外部資料_3215" localSheetId="2">紅綠燈!#REF!</definedName>
    <definedName name="外部資料_3216" localSheetId="2">紅綠燈!#REF!</definedName>
    <definedName name="外部資料_3217" localSheetId="2">紅綠燈!#REF!</definedName>
    <definedName name="外部資料_3219" localSheetId="2">紅綠燈!#REF!</definedName>
    <definedName name="外部資料_322" localSheetId="7">PKA!#REF!</definedName>
    <definedName name="外部資料_322" localSheetId="8">PKB!#REF!</definedName>
    <definedName name="外部資料_322" localSheetId="9">PKC!#REF!</definedName>
    <definedName name="外部資料_322" localSheetId="2">紅綠燈!#REF!</definedName>
    <definedName name="外部資料_3220" localSheetId="2">紅綠燈!#REF!</definedName>
    <definedName name="外部資料_3221" localSheetId="2">紅綠燈!#REF!</definedName>
    <definedName name="外部資料_3223" localSheetId="2">紅綠燈!#REF!</definedName>
    <definedName name="外部資料_3224" localSheetId="2">紅綠燈!#REF!</definedName>
    <definedName name="外部資料_3225" localSheetId="2">紅綠燈!#REF!</definedName>
    <definedName name="外部資料_3227" localSheetId="2">紅綠燈!#REF!</definedName>
    <definedName name="外部資料_3228" localSheetId="2">紅綠燈!#REF!</definedName>
    <definedName name="外部資料_3229" localSheetId="2">紅綠燈!#REF!</definedName>
    <definedName name="外部資料_323" localSheetId="7">PKA!#REF!</definedName>
    <definedName name="外部資料_323" localSheetId="8">PKB!#REF!</definedName>
    <definedName name="外部資料_323" localSheetId="9">PKC!#REF!</definedName>
    <definedName name="外部資料_3231" localSheetId="2">紅綠燈!#REF!</definedName>
    <definedName name="外部資料_3232" localSheetId="2">紅綠燈!#REF!</definedName>
    <definedName name="外部資料_3233" localSheetId="2">紅綠燈!#REF!</definedName>
    <definedName name="外部資料_3235" localSheetId="2">紅綠燈!#REF!</definedName>
    <definedName name="外部資料_3236" localSheetId="2">紅綠燈!#REF!</definedName>
    <definedName name="外部資料_3237" localSheetId="2">紅綠燈!#REF!</definedName>
    <definedName name="外部資料_3239" localSheetId="2">紅綠燈!#REF!</definedName>
    <definedName name="外部資料_324" localSheetId="7">PKA!#REF!</definedName>
    <definedName name="外部資料_324" localSheetId="8">PKB!#REF!</definedName>
    <definedName name="外部資料_324" localSheetId="9">PKC!#REF!</definedName>
    <definedName name="外部資料_324" localSheetId="2">紅綠燈!#REF!</definedName>
    <definedName name="外部資料_3240" localSheetId="2">紅綠燈!#REF!</definedName>
    <definedName name="外部資料_3241" localSheetId="2">紅綠燈!#REF!</definedName>
    <definedName name="外部資料_3243" localSheetId="2">紅綠燈!#REF!</definedName>
    <definedName name="外部資料_3244" localSheetId="2">紅綠燈!#REF!</definedName>
    <definedName name="外部資料_3245" localSheetId="2">紅綠燈!#REF!</definedName>
    <definedName name="外部資料_3247" localSheetId="2">紅綠燈!#REF!</definedName>
    <definedName name="外部資料_3248" localSheetId="2">紅綠燈!#REF!</definedName>
    <definedName name="外部資料_3249" localSheetId="2">紅綠燈!#REF!</definedName>
    <definedName name="外部資料_325" localSheetId="7">PKA!#REF!</definedName>
    <definedName name="外部資料_325" localSheetId="8">PKB!#REF!</definedName>
    <definedName name="外部資料_325" localSheetId="9">PKC!#REF!</definedName>
    <definedName name="外部資料_325" localSheetId="2">紅綠燈!#REF!</definedName>
    <definedName name="外部資料_3251" localSheetId="2">紅綠燈!#REF!</definedName>
    <definedName name="外部資料_3252" localSheetId="2">紅綠燈!#REF!</definedName>
    <definedName name="外部資料_3253" localSheetId="2">紅綠燈!#REF!</definedName>
    <definedName name="外部資料_3255" localSheetId="2">紅綠燈!#REF!</definedName>
    <definedName name="外部資料_3256" localSheetId="2">紅綠燈!#REF!</definedName>
    <definedName name="外部資料_3257" localSheetId="2">紅綠燈!#REF!</definedName>
    <definedName name="外部資料_3259" localSheetId="2">紅綠燈!#REF!</definedName>
    <definedName name="外部資料_326" localSheetId="7">PKA!#REF!</definedName>
    <definedName name="外部資料_326" localSheetId="8">PKB!#REF!</definedName>
    <definedName name="外部資料_326" localSheetId="9">PKC!#REF!</definedName>
    <definedName name="外部資料_326" localSheetId="2">紅綠燈!#REF!</definedName>
    <definedName name="外部資料_3260" localSheetId="2">紅綠燈!#REF!</definedName>
    <definedName name="外部資料_3261" localSheetId="2">紅綠燈!#REF!</definedName>
    <definedName name="外部資料_3263" localSheetId="2">紅綠燈!#REF!</definedName>
    <definedName name="外部資料_3264" localSheetId="2">紅綠燈!#REF!</definedName>
    <definedName name="外部資料_3265" localSheetId="2">紅綠燈!#REF!</definedName>
    <definedName name="外部資料_3267" localSheetId="2">紅綠燈!#REF!</definedName>
    <definedName name="外部資料_3268" localSheetId="2">紅綠燈!#REF!</definedName>
    <definedName name="外部資料_3269" localSheetId="2">紅綠燈!#REF!</definedName>
    <definedName name="外部資料_327" localSheetId="7">PKA!#REF!</definedName>
    <definedName name="外部資料_327" localSheetId="8">PKB!#REF!</definedName>
    <definedName name="外部資料_327" localSheetId="9">PKC!#REF!</definedName>
    <definedName name="外部資料_3271" localSheetId="2">紅綠燈!#REF!</definedName>
    <definedName name="外部資料_3272" localSheetId="2">紅綠燈!#REF!</definedName>
    <definedName name="外部資料_3273" localSheetId="2">紅綠燈!#REF!</definedName>
    <definedName name="外部資料_3275" localSheetId="2">紅綠燈!#REF!</definedName>
    <definedName name="外部資料_3276" localSheetId="2">紅綠燈!#REF!</definedName>
    <definedName name="外部資料_3277" localSheetId="2">紅綠燈!#REF!</definedName>
    <definedName name="外部資料_3279" localSheetId="2">紅綠燈!#REF!</definedName>
    <definedName name="外部資料_328" localSheetId="7">PKA!#REF!</definedName>
    <definedName name="外部資料_328" localSheetId="8">PKB!#REF!</definedName>
    <definedName name="外部資料_328" localSheetId="9">PKC!#REF!</definedName>
    <definedName name="外部資料_328" localSheetId="2">紅綠燈!#REF!</definedName>
    <definedName name="外部資料_3280" localSheetId="2">紅綠燈!#REF!</definedName>
    <definedName name="外部資料_3281" localSheetId="2">紅綠燈!#REF!</definedName>
    <definedName name="外部資料_3283" localSheetId="2">紅綠燈!#REF!</definedName>
    <definedName name="外部資料_3284" localSheetId="2">紅綠燈!#REF!</definedName>
    <definedName name="外部資料_3285" localSheetId="2">紅綠燈!#REF!</definedName>
    <definedName name="外部資料_3287" localSheetId="2">紅綠燈!#REF!</definedName>
    <definedName name="外部資料_3288" localSheetId="2">紅綠燈!#REF!</definedName>
    <definedName name="外部資料_3289" localSheetId="2">紅綠燈!#REF!</definedName>
    <definedName name="外部資料_329" localSheetId="7">PKA!#REF!</definedName>
    <definedName name="外部資料_329" localSheetId="8">PKB!#REF!</definedName>
    <definedName name="外部資料_329" localSheetId="9">PKC!#REF!</definedName>
    <definedName name="外部資料_329" localSheetId="2">紅綠燈!#REF!</definedName>
    <definedName name="外部資料_3291" localSheetId="2">紅綠燈!#REF!</definedName>
    <definedName name="外部資料_3292" localSheetId="2">紅綠燈!#REF!</definedName>
    <definedName name="外部資料_3293" localSheetId="2">紅綠燈!#REF!</definedName>
    <definedName name="外部資料_3295" localSheetId="2">紅綠燈!#REF!</definedName>
    <definedName name="外部資料_3296" localSheetId="2">紅綠燈!#REF!</definedName>
    <definedName name="外部資料_3297" localSheetId="2">紅綠燈!#REF!</definedName>
    <definedName name="外部資料_3299" localSheetId="2">紅綠燈!#REF!</definedName>
    <definedName name="外部資料_33" localSheetId="7">PKA!#REF!</definedName>
    <definedName name="外部資料_33" localSheetId="8">PKB!#REF!</definedName>
    <definedName name="外部資料_33" localSheetId="9">PKC!#REF!</definedName>
    <definedName name="外部資料_33" localSheetId="13">PSR!#REF!</definedName>
    <definedName name="外部資料_33" localSheetId="2">紅綠燈!#REF!</definedName>
    <definedName name="外部資料_33" localSheetId="3">評比系統!#REF!</definedName>
    <definedName name="外部資料_33" localSheetId="10">福邦!#REF!</definedName>
    <definedName name="外部資料_33" localSheetId="4">篩股系統!#REF!</definedName>
    <definedName name="外部資料_33" localSheetId="11">營收搶先報!#REF!</definedName>
    <definedName name="外部資料_330" localSheetId="7">PKA!#REF!</definedName>
    <definedName name="外部資料_330" localSheetId="8">PKB!#REF!</definedName>
    <definedName name="外部資料_330" localSheetId="9">PKC!#REF!</definedName>
    <definedName name="外部資料_330" localSheetId="2">紅綠燈!#REF!</definedName>
    <definedName name="外部資料_3300" localSheetId="2">紅綠燈!#REF!</definedName>
    <definedName name="外部資料_3301" localSheetId="2">紅綠燈!#REF!</definedName>
    <definedName name="外部資料_3303" localSheetId="2">紅綠燈!#REF!</definedName>
    <definedName name="外部資料_3304" localSheetId="2">紅綠燈!#REF!</definedName>
    <definedName name="外部資料_3305" localSheetId="2">紅綠燈!#REF!</definedName>
    <definedName name="外部資料_3307" localSheetId="2">紅綠燈!#REF!</definedName>
    <definedName name="外部資料_3308" localSheetId="2">紅綠燈!#REF!</definedName>
    <definedName name="外部資料_3309" localSheetId="2">紅綠燈!#REF!</definedName>
    <definedName name="外部資料_331" localSheetId="7">PKA!#REF!</definedName>
    <definedName name="外部資料_331" localSheetId="8">PKB!#REF!</definedName>
    <definedName name="外部資料_331" localSheetId="9">PKC!#REF!</definedName>
    <definedName name="外部資料_3311" localSheetId="2">紅綠燈!#REF!</definedName>
    <definedName name="外部資料_3312" localSheetId="2">紅綠燈!#REF!</definedName>
    <definedName name="外部資料_3313" localSheetId="2">紅綠燈!#REF!</definedName>
    <definedName name="外部資料_3315" localSheetId="2">紅綠燈!#REF!</definedName>
    <definedName name="外部資料_3316" localSheetId="2">紅綠燈!#REF!</definedName>
    <definedName name="外部資料_3317" localSheetId="2">紅綠燈!#REF!</definedName>
    <definedName name="外部資料_3319" localSheetId="2">紅綠燈!#REF!</definedName>
    <definedName name="外部資料_332" localSheetId="7">PKA!#REF!</definedName>
    <definedName name="外部資料_332" localSheetId="8">PKB!#REF!</definedName>
    <definedName name="外部資料_332" localSheetId="9">PKC!#REF!</definedName>
    <definedName name="外部資料_332" localSheetId="2">紅綠燈!#REF!</definedName>
    <definedName name="外部資料_3320" localSheetId="2">紅綠燈!#REF!</definedName>
    <definedName name="外部資料_3321" localSheetId="2">紅綠燈!#REF!</definedName>
    <definedName name="外部資料_3323" localSheetId="2">紅綠燈!#REF!</definedName>
    <definedName name="外部資料_3324" localSheetId="2">紅綠燈!#REF!</definedName>
    <definedName name="外部資料_3325" localSheetId="2">紅綠燈!#REF!</definedName>
    <definedName name="外部資料_3327" localSheetId="2">紅綠燈!#REF!</definedName>
    <definedName name="外部資料_3328" localSheetId="2">紅綠燈!#REF!</definedName>
    <definedName name="外部資料_3329" localSheetId="2">紅綠燈!#REF!</definedName>
    <definedName name="外部資料_333" localSheetId="7">PKA!#REF!</definedName>
    <definedName name="外部資料_333" localSheetId="8">PKB!#REF!</definedName>
    <definedName name="外部資料_333" localSheetId="9">PKC!#REF!</definedName>
    <definedName name="外部資料_333" localSheetId="2">紅綠燈!#REF!</definedName>
    <definedName name="外部資料_3331" localSheetId="2">紅綠燈!#REF!</definedName>
    <definedName name="外部資料_3332" localSheetId="2">紅綠燈!#REF!</definedName>
    <definedName name="外部資料_3333" localSheetId="2">紅綠燈!#REF!</definedName>
    <definedName name="外部資料_3335" localSheetId="2">紅綠燈!#REF!</definedName>
    <definedName name="外部資料_3336" localSheetId="2">紅綠燈!#REF!</definedName>
    <definedName name="外部資料_3337" localSheetId="2">紅綠燈!#REF!</definedName>
    <definedName name="外部資料_3339" localSheetId="2">紅綠燈!#REF!</definedName>
    <definedName name="外部資料_334" localSheetId="7">PKA!#REF!</definedName>
    <definedName name="外部資料_334" localSheetId="8">PKB!#REF!</definedName>
    <definedName name="外部資料_334" localSheetId="9">PKC!#REF!</definedName>
    <definedName name="外部資料_334" localSheetId="2">紅綠燈!#REF!</definedName>
    <definedName name="外部資料_3340" localSheetId="2">紅綠燈!#REF!</definedName>
    <definedName name="外部資料_3341" localSheetId="2">紅綠燈!#REF!</definedName>
    <definedName name="外部資料_3343" localSheetId="2">紅綠燈!#REF!</definedName>
    <definedName name="外部資料_3344" localSheetId="2">紅綠燈!#REF!</definedName>
    <definedName name="外部資料_3345" localSheetId="2">紅綠燈!#REF!</definedName>
    <definedName name="外部資料_3347" localSheetId="2">紅綠燈!#REF!</definedName>
    <definedName name="外部資料_3348" localSheetId="2">紅綠燈!#REF!</definedName>
    <definedName name="外部資料_3349" localSheetId="2">紅綠燈!#REF!</definedName>
    <definedName name="外部資料_335" localSheetId="7">PKA!#REF!</definedName>
    <definedName name="外部資料_335" localSheetId="8">PKB!#REF!</definedName>
    <definedName name="外部資料_335" localSheetId="9">PKC!#REF!</definedName>
    <definedName name="外部資料_3351" localSheetId="2">紅綠燈!#REF!</definedName>
    <definedName name="外部資料_3352" localSheetId="2">紅綠燈!#REF!</definedName>
    <definedName name="外部資料_3353" localSheetId="2">紅綠燈!#REF!</definedName>
    <definedName name="外部資料_3355" localSheetId="2">紅綠燈!#REF!</definedName>
    <definedName name="外部資料_3356" localSheetId="2">紅綠燈!#REF!</definedName>
    <definedName name="外部資料_3357" localSheetId="2">紅綠燈!#REF!</definedName>
    <definedName name="外部資料_3359" localSheetId="2">紅綠燈!#REF!</definedName>
    <definedName name="外部資料_336" localSheetId="7">PKA!#REF!</definedName>
    <definedName name="外部資料_336" localSheetId="8">PKB!#REF!</definedName>
    <definedName name="外部資料_336" localSheetId="9">PKC!#REF!</definedName>
    <definedName name="外部資料_336" localSheetId="2">紅綠燈!#REF!</definedName>
    <definedName name="外部資料_3360" localSheetId="2">紅綠燈!#REF!</definedName>
    <definedName name="外部資料_3361" localSheetId="2">紅綠燈!#REF!</definedName>
    <definedName name="外部資料_3363" localSheetId="2">紅綠燈!#REF!</definedName>
    <definedName name="外部資料_3364" localSheetId="2">紅綠燈!#REF!</definedName>
    <definedName name="外部資料_3365" localSheetId="2">紅綠燈!#REF!</definedName>
    <definedName name="外部資料_3367" localSheetId="2">紅綠燈!#REF!</definedName>
    <definedName name="外部資料_3368" localSheetId="2">紅綠燈!#REF!</definedName>
    <definedName name="外部資料_3369" localSheetId="2">紅綠燈!#REF!</definedName>
    <definedName name="外部資料_337" localSheetId="7">PKA!#REF!</definedName>
    <definedName name="外部資料_337" localSheetId="8">PKB!#REF!</definedName>
    <definedName name="外部資料_337" localSheetId="9">PKC!#REF!</definedName>
    <definedName name="外部資料_337" localSheetId="2">紅綠燈!#REF!</definedName>
    <definedName name="外部資料_3371" localSheetId="2">紅綠燈!#REF!</definedName>
    <definedName name="外部資料_3372" localSheetId="2">紅綠燈!#REF!</definedName>
    <definedName name="外部資料_3373" localSheetId="2">紅綠燈!#REF!</definedName>
    <definedName name="外部資料_3375" localSheetId="2">紅綠燈!#REF!</definedName>
    <definedName name="外部資料_3376" localSheetId="2">紅綠燈!#REF!</definedName>
    <definedName name="外部資料_3377" localSheetId="2">紅綠燈!#REF!</definedName>
    <definedName name="外部資料_3379" localSheetId="2">紅綠燈!#REF!</definedName>
    <definedName name="外部資料_338" localSheetId="7">PKA!#REF!</definedName>
    <definedName name="外部資料_338" localSheetId="8">PKB!#REF!</definedName>
    <definedName name="外部資料_338" localSheetId="9">PKC!#REF!</definedName>
    <definedName name="外部資料_338" localSheetId="2">紅綠燈!#REF!</definedName>
    <definedName name="外部資料_3380" localSheetId="2">紅綠燈!#REF!</definedName>
    <definedName name="外部資料_3381" localSheetId="2">紅綠燈!#REF!</definedName>
    <definedName name="外部資料_3383" localSheetId="2">紅綠燈!#REF!</definedName>
    <definedName name="外部資料_3384" localSheetId="2">紅綠燈!#REF!</definedName>
    <definedName name="外部資料_3385" localSheetId="2">紅綠燈!#REF!</definedName>
    <definedName name="外部資料_3387" localSheetId="2">紅綠燈!#REF!</definedName>
    <definedName name="外部資料_3388" localSheetId="2">紅綠燈!#REF!</definedName>
    <definedName name="外部資料_3389" localSheetId="2">紅綠燈!#REF!</definedName>
    <definedName name="外部資料_339" localSheetId="7">PKA!#REF!</definedName>
    <definedName name="外部資料_339" localSheetId="8">PKB!#REF!</definedName>
    <definedName name="外部資料_339" localSheetId="9">PKC!#REF!</definedName>
    <definedName name="外部資料_3391" localSheetId="2">紅綠燈!#REF!</definedName>
    <definedName name="外部資料_3392" localSheetId="2">紅綠燈!#REF!</definedName>
    <definedName name="外部資料_3393" localSheetId="2">紅綠燈!#REF!</definedName>
    <definedName name="外部資料_3395" localSheetId="2">紅綠燈!#REF!</definedName>
    <definedName name="外部資料_3396" localSheetId="2">紅綠燈!#REF!</definedName>
    <definedName name="外部資料_3397" localSheetId="2">紅綠燈!#REF!</definedName>
    <definedName name="外部資料_3399" localSheetId="2">紅綠燈!#REF!</definedName>
    <definedName name="外部資料_34" localSheetId="7">PKA!#REF!</definedName>
    <definedName name="外部資料_34" localSheetId="8">PKB!#REF!</definedName>
    <definedName name="外部資料_34" localSheetId="9">PKC!#REF!</definedName>
    <definedName name="外部資料_34" localSheetId="13">PSR!#REF!</definedName>
    <definedName name="外部資料_34" localSheetId="2">紅綠燈!#REF!</definedName>
    <definedName name="外部資料_34" localSheetId="3">評比系統!#REF!</definedName>
    <definedName name="外部資料_34" localSheetId="4">篩股系統!#REF!</definedName>
    <definedName name="外部資料_34" localSheetId="11">營收搶先報!#REF!</definedName>
    <definedName name="外部資料_340" localSheetId="7">PKA!#REF!</definedName>
    <definedName name="外部資料_340" localSheetId="8">PKB!#REF!</definedName>
    <definedName name="外部資料_340" localSheetId="9">PKC!#REF!</definedName>
    <definedName name="外部資料_340" localSheetId="2">紅綠燈!#REF!</definedName>
    <definedName name="外部資料_3400" localSheetId="2">紅綠燈!#REF!</definedName>
    <definedName name="外部資料_3401" localSheetId="2">紅綠燈!#REF!</definedName>
    <definedName name="外部資料_3403" localSheetId="2">紅綠燈!#REF!</definedName>
    <definedName name="外部資料_3404" localSheetId="2">紅綠燈!#REF!</definedName>
    <definedName name="外部資料_3405" localSheetId="2">紅綠燈!#REF!</definedName>
    <definedName name="外部資料_3407" localSheetId="2">紅綠燈!#REF!</definedName>
    <definedName name="外部資料_3408" localSheetId="2">紅綠燈!#REF!</definedName>
    <definedName name="外部資料_3409" localSheetId="2">紅綠燈!#REF!</definedName>
    <definedName name="外部資料_341" localSheetId="7">PKA!#REF!</definedName>
    <definedName name="外部資料_341" localSheetId="8">PKB!#REF!</definedName>
    <definedName name="外部資料_341" localSheetId="9">PKC!#REF!</definedName>
    <definedName name="外部資料_341" localSheetId="2">紅綠燈!#REF!</definedName>
    <definedName name="外部資料_3411" localSheetId="2">紅綠燈!#REF!</definedName>
    <definedName name="外部資料_3412" localSheetId="2">紅綠燈!#REF!</definedName>
    <definedName name="外部資料_3413" localSheetId="2">紅綠燈!#REF!</definedName>
    <definedName name="外部資料_3415" localSheetId="2">紅綠燈!#REF!</definedName>
    <definedName name="外部資料_3416" localSheetId="2">紅綠燈!#REF!</definedName>
    <definedName name="外部資料_3417" localSheetId="2">紅綠燈!#REF!</definedName>
    <definedName name="外部資料_3419" localSheetId="2">紅綠燈!#REF!</definedName>
    <definedName name="外部資料_342" localSheetId="7">PKA!#REF!</definedName>
    <definedName name="外部資料_342" localSheetId="8">PKB!#REF!</definedName>
    <definedName name="外部資料_342" localSheetId="9">PKC!#REF!</definedName>
    <definedName name="外部資料_342" localSheetId="2">紅綠燈!#REF!</definedName>
    <definedName name="外部資料_3420" localSheetId="2">紅綠燈!#REF!</definedName>
    <definedName name="外部資料_3421" localSheetId="2">紅綠燈!#REF!</definedName>
    <definedName name="外部資料_3423" localSheetId="2">紅綠燈!#REF!</definedName>
    <definedName name="外部資料_3424" localSheetId="2">紅綠燈!#REF!</definedName>
    <definedName name="外部資料_3425" localSheetId="2">紅綠燈!#REF!</definedName>
    <definedName name="外部資料_3427" localSheetId="2">紅綠燈!#REF!</definedName>
    <definedName name="外部資料_3428" localSheetId="2">紅綠燈!#REF!</definedName>
    <definedName name="外部資料_3429" localSheetId="2">紅綠燈!#REF!</definedName>
    <definedName name="外部資料_343" localSheetId="7">PKA!#REF!</definedName>
    <definedName name="外部資料_343" localSheetId="8">PKB!#REF!</definedName>
    <definedName name="外部資料_343" localSheetId="9">PKC!#REF!</definedName>
    <definedName name="外部資料_3431" localSheetId="2">紅綠燈!#REF!</definedName>
    <definedName name="外部資料_3432" localSheetId="2">紅綠燈!#REF!</definedName>
    <definedName name="外部資料_3433" localSheetId="2">紅綠燈!#REF!</definedName>
    <definedName name="外部資料_3435" localSheetId="2">紅綠燈!#REF!</definedName>
    <definedName name="外部資料_3436" localSheetId="2">紅綠燈!#REF!</definedName>
    <definedName name="外部資料_3437" localSheetId="2">紅綠燈!#REF!</definedName>
    <definedName name="外部資料_3439" localSheetId="2">紅綠燈!#REF!</definedName>
    <definedName name="外部資料_344" localSheetId="7">PKA!#REF!</definedName>
    <definedName name="外部資料_344" localSheetId="8">PKB!#REF!</definedName>
    <definedName name="外部資料_344" localSheetId="9">PKC!#REF!</definedName>
    <definedName name="外部資料_344" localSheetId="2">紅綠燈!#REF!</definedName>
    <definedName name="外部資料_3440" localSheetId="2">紅綠燈!#REF!</definedName>
    <definedName name="外部資料_3441" localSheetId="2">紅綠燈!#REF!</definedName>
    <definedName name="外部資料_3443" localSheetId="2">紅綠燈!#REF!</definedName>
    <definedName name="外部資料_3444" localSheetId="2">紅綠燈!#REF!</definedName>
    <definedName name="外部資料_3445" localSheetId="2">紅綠燈!#REF!</definedName>
    <definedName name="外部資料_3447" localSheetId="2">紅綠燈!#REF!</definedName>
    <definedName name="外部資料_3448" localSheetId="2">紅綠燈!#REF!</definedName>
    <definedName name="外部資料_3449" localSheetId="2">紅綠燈!#REF!</definedName>
    <definedName name="外部資料_345" localSheetId="7">PKA!#REF!</definedName>
    <definedName name="外部資料_345" localSheetId="8">PKB!#REF!</definedName>
    <definedName name="外部資料_345" localSheetId="9">PKC!#REF!</definedName>
    <definedName name="外部資料_345" localSheetId="2">紅綠燈!#REF!</definedName>
    <definedName name="外部資料_3451" localSheetId="2">紅綠燈!#REF!</definedName>
    <definedName name="外部資料_3452" localSheetId="2">紅綠燈!#REF!</definedName>
    <definedName name="外部資料_3453" localSheetId="2">紅綠燈!#REF!</definedName>
    <definedName name="外部資料_3455" localSheetId="2">紅綠燈!#REF!</definedName>
    <definedName name="外部資料_3456" localSheetId="2">紅綠燈!#REF!</definedName>
    <definedName name="外部資料_3457" localSheetId="2">紅綠燈!#REF!</definedName>
    <definedName name="外部資料_3459" localSheetId="2">紅綠燈!#REF!</definedName>
    <definedName name="外部資料_346" localSheetId="7">PKA!#REF!</definedName>
    <definedName name="外部資料_346" localSheetId="8">PKB!#REF!</definedName>
    <definedName name="外部資料_346" localSheetId="9">PKC!#REF!</definedName>
    <definedName name="外部資料_346" localSheetId="2">紅綠燈!#REF!</definedName>
    <definedName name="外部資料_3460" localSheetId="2">紅綠燈!#REF!</definedName>
    <definedName name="外部資料_3461" localSheetId="2">紅綠燈!#REF!</definedName>
    <definedName name="外部資料_3463" localSheetId="2">紅綠燈!#REF!</definedName>
    <definedName name="外部資料_3464" localSheetId="2">紅綠燈!#REF!</definedName>
    <definedName name="外部資料_3465" localSheetId="2">紅綠燈!#REF!</definedName>
    <definedName name="外部資料_3467" localSheetId="2">紅綠燈!#REF!</definedName>
    <definedName name="外部資料_3468" localSheetId="2">紅綠燈!#REF!</definedName>
    <definedName name="外部資料_3469" localSheetId="2">紅綠燈!#REF!</definedName>
    <definedName name="外部資料_347" localSheetId="7">PKA!#REF!</definedName>
    <definedName name="外部資料_347" localSheetId="8">PKB!#REF!</definedName>
    <definedName name="外部資料_347" localSheetId="9">PKC!#REF!</definedName>
    <definedName name="外部資料_3471" localSheetId="2">紅綠燈!#REF!</definedName>
    <definedName name="外部資料_3472" localSheetId="2">紅綠燈!#REF!</definedName>
    <definedName name="外部資料_3473" localSheetId="2">紅綠燈!#REF!</definedName>
    <definedName name="外部資料_3475" localSheetId="2">紅綠燈!#REF!</definedName>
    <definedName name="外部資料_3476" localSheetId="2">紅綠燈!#REF!</definedName>
    <definedName name="外部資料_3477" localSheetId="2">紅綠燈!#REF!</definedName>
    <definedName name="外部資料_3479" localSheetId="2">紅綠燈!#REF!</definedName>
    <definedName name="外部資料_348" localSheetId="7">PKA!#REF!</definedName>
    <definedName name="外部資料_348" localSheetId="8">PKB!#REF!</definedName>
    <definedName name="外部資料_348" localSheetId="9">PKC!#REF!</definedName>
    <definedName name="外部資料_348" localSheetId="2">紅綠燈!#REF!</definedName>
    <definedName name="外部資料_3480" localSheetId="2">紅綠燈!#REF!</definedName>
    <definedName name="外部資料_3481" localSheetId="2">紅綠燈!#REF!</definedName>
    <definedName name="外部資料_3483" localSheetId="2">紅綠燈!#REF!</definedName>
    <definedName name="外部資料_3484" localSheetId="2">紅綠燈!#REF!</definedName>
    <definedName name="外部資料_3485" localSheetId="2">紅綠燈!#REF!</definedName>
    <definedName name="外部資料_3487" localSheetId="2">紅綠燈!#REF!</definedName>
    <definedName name="外部資料_3488" localSheetId="2">紅綠燈!#REF!</definedName>
    <definedName name="外部資料_3489" localSheetId="2">紅綠燈!#REF!</definedName>
    <definedName name="外部資料_349" localSheetId="7">PKA!#REF!</definedName>
    <definedName name="外部資料_349" localSheetId="8">PKB!#REF!</definedName>
    <definedName name="外部資料_349" localSheetId="9">PKC!#REF!</definedName>
    <definedName name="外部資料_349" localSheetId="2">紅綠燈!#REF!</definedName>
    <definedName name="外部資料_3491" localSheetId="2">紅綠燈!#REF!</definedName>
    <definedName name="外部資料_3492" localSheetId="2">紅綠燈!#REF!</definedName>
    <definedName name="外部資料_3493" localSheetId="2">紅綠燈!#REF!</definedName>
    <definedName name="外部資料_3495" localSheetId="2">紅綠燈!#REF!</definedName>
    <definedName name="外部資料_3496" localSheetId="2">紅綠燈!#REF!</definedName>
    <definedName name="外部資料_3497" localSheetId="2">紅綠燈!#REF!</definedName>
    <definedName name="外部資料_3499" localSheetId="2">紅綠燈!#REF!</definedName>
    <definedName name="外部資料_35" localSheetId="7">PKA!#REF!</definedName>
    <definedName name="外部資料_35" localSheetId="8">PKB!#REF!</definedName>
    <definedName name="外部資料_35" localSheetId="9">PKC!#REF!</definedName>
    <definedName name="外部資料_35" localSheetId="13">PSR!#REF!</definedName>
    <definedName name="外部資料_35" localSheetId="2">紅綠燈!#REF!</definedName>
    <definedName name="外部資料_35" localSheetId="3">評比系統!#REF!</definedName>
    <definedName name="外部資料_35" localSheetId="10">福邦!#REF!</definedName>
    <definedName name="外部資料_35" localSheetId="4">篩股系統!#REF!</definedName>
    <definedName name="外部資料_35" localSheetId="11">營收搶先報!#REF!</definedName>
    <definedName name="外部資料_350" localSheetId="7">PKA!#REF!</definedName>
    <definedName name="外部資料_350" localSheetId="8">PKB!#REF!</definedName>
    <definedName name="外部資料_350" localSheetId="9">PKC!#REF!</definedName>
    <definedName name="外部資料_350" localSheetId="2">紅綠燈!#REF!</definedName>
    <definedName name="外部資料_3500" localSheetId="2">紅綠燈!#REF!</definedName>
    <definedName name="外部資料_3501" localSheetId="2">紅綠燈!#REF!</definedName>
    <definedName name="外部資料_3503" localSheetId="2">紅綠燈!#REF!</definedName>
    <definedName name="外部資料_3504" localSheetId="2">紅綠燈!#REF!</definedName>
    <definedName name="外部資料_3505" localSheetId="2">紅綠燈!#REF!</definedName>
    <definedName name="外部資料_3507" localSheetId="2">紅綠燈!#REF!</definedName>
    <definedName name="外部資料_3508" localSheetId="2">紅綠燈!#REF!</definedName>
    <definedName name="外部資料_3509" localSheetId="2">紅綠燈!#REF!</definedName>
    <definedName name="外部資料_351" localSheetId="7">PKA!#REF!</definedName>
    <definedName name="外部資料_351" localSheetId="8">PKB!#REF!</definedName>
    <definedName name="外部資料_351" localSheetId="9">PKC!#REF!</definedName>
    <definedName name="外部資料_3511" localSheetId="2">紅綠燈!#REF!</definedName>
    <definedName name="外部資料_3512" localSheetId="2">紅綠燈!#REF!</definedName>
    <definedName name="外部資料_3513" localSheetId="2">紅綠燈!#REF!</definedName>
    <definedName name="外部資料_3515" localSheetId="2">紅綠燈!#REF!</definedName>
    <definedName name="外部資料_3516" localSheetId="2">紅綠燈!#REF!</definedName>
    <definedName name="外部資料_3517" localSheetId="2">紅綠燈!#REF!</definedName>
    <definedName name="外部資料_3519" localSheetId="2">紅綠燈!#REF!</definedName>
    <definedName name="外部資料_352" localSheetId="7">PKA!#REF!</definedName>
    <definedName name="外部資料_352" localSheetId="8">PKB!#REF!</definedName>
    <definedName name="外部資料_352" localSheetId="9">PKC!#REF!</definedName>
    <definedName name="外部資料_352" localSheetId="2">紅綠燈!#REF!</definedName>
    <definedName name="外部資料_3520" localSheetId="2">紅綠燈!#REF!</definedName>
    <definedName name="外部資料_3521" localSheetId="2">紅綠燈!#REF!</definedName>
    <definedName name="外部資料_3523" localSheetId="2">紅綠燈!#REF!</definedName>
    <definedName name="外部資料_3524" localSheetId="2">紅綠燈!#REF!</definedName>
    <definedName name="外部資料_3525" localSheetId="2">紅綠燈!#REF!</definedName>
    <definedName name="外部資料_3527" localSheetId="2">紅綠燈!#REF!</definedName>
    <definedName name="外部資料_3528" localSheetId="2">紅綠燈!#REF!</definedName>
    <definedName name="外部資料_3529" localSheetId="2">紅綠燈!#REF!</definedName>
    <definedName name="外部資料_353" localSheetId="7">PKA!#REF!</definedName>
    <definedName name="外部資料_353" localSheetId="8">PKB!#REF!</definedName>
    <definedName name="外部資料_353" localSheetId="9">PKC!#REF!</definedName>
    <definedName name="外部資料_353" localSheetId="2">紅綠燈!#REF!</definedName>
    <definedName name="外部資料_3531" localSheetId="2">紅綠燈!#REF!</definedName>
    <definedName name="外部資料_3532" localSheetId="2">紅綠燈!#REF!</definedName>
    <definedName name="外部資料_3533" localSheetId="2">紅綠燈!#REF!</definedName>
    <definedName name="外部資料_3535" localSheetId="2">紅綠燈!#REF!</definedName>
    <definedName name="外部資料_3536" localSheetId="2">紅綠燈!#REF!</definedName>
    <definedName name="外部資料_3537" localSheetId="2">紅綠燈!#REF!</definedName>
    <definedName name="外部資料_3539" localSheetId="2">紅綠燈!#REF!</definedName>
    <definedName name="外部資料_354" localSheetId="7">PKA!#REF!</definedName>
    <definedName name="外部資料_354" localSheetId="8">PKB!#REF!</definedName>
    <definedName name="外部資料_354" localSheetId="9">PKC!#REF!</definedName>
    <definedName name="外部資料_354" localSheetId="2">紅綠燈!#REF!</definedName>
    <definedName name="外部資料_3540" localSheetId="2">紅綠燈!#REF!</definedName>
    <definedName name="外部資料_3541" localSheetId="2">紅綠燈!#REF!</definedName>
    <definedName name="外部資料_3543" localSheetId="2">紅綠燈!#REF!</definedName>
    <definedName name="外部資料_3544" localSheetId="2">紅綠燈!#REF!</definedName>
    <definedName name="外部資料_3545" localSheetId="2">紅綠燈!#REF!</definedName>
    <definedName name="外部資料_3547" localSheetId="2">紅綠燈!#REF!</definedName>
    <definedName name="外部資料_3548" localSheetId="2">紅綠燈!#REF!</definedName>
    <definedName name="外部資料_3549" localSheetId="2">紅綠燈!#REF!</definedName>
    <definedName name="外部資料_355" localSheetId="7">PKA!#REF!</definedName>
    <definedName name="外部資料_355" localSheetId="8">PKB!#REF!</definedName>
    <definedName name="外部資料_355" localSheetId="9">PKC!#REF!</definedName>
    <definedName name="外部資料_3551" localSheetId="2">紅綠燈!#REF!</definedName>
    <definedName name="外部資料_3552" localSheetId="2">紅綠燈!#REF!</definedName>
    <definedName name="外部資料_3553" localSheetId="2">紅綠燈!#REF!</definedName>
    <definedName name="外部資料_3555" localSheetId="2">紅綠燈!#REF!</definedName>
    <definedName name="外部資料_3556" localSheetId="2">紅綠燈!#REF!</definedName>
    <definedName name="外部資料_3557" localSheetId="2">紅綠燈!#REF!</definedName>
    <definedName name="外部資料_3559" localSheetId="2">紅綠燈!#REF!</definedName>
    <definedName name="外部資料_356" localSheetId="7">PKA!#REF!</definedName>
    <definedName name="外部資料_356" localSheetId="8">PKB!#REF!</definedName>
    <definedName name="外部資料_356" localSheetId="9">PKC!#REF!</definedName>
    <definedName name="外部資料_356" localSheetId="2">紅綠燈!#REF!</definedName>
    <definedName name="外部資料_3560" localSheetId="2">紅綠燈!#REF!</definedName>
    <definedName name="外部資料_3561" localSheetId="2">紅綠燈!#REF!</definedName>
    <definedName name="外部資料_3563" localSheetId="2">紅綠燈!#REF!</definedName>
    <definedName name="外部資料_3564" localSheetId="2">紅綠燈!#REF!</definedName>
    <definedName name="外部資料_3565" localSheetId="2">紅綠燈!#REF!</definedName>
    <definedName name="外部資料_3567" localSheetId="2">紅綠燈!#REF!</definedName>
    <definedName name="外部資料_3568" localSheetId="2">紅綠燈!#REF!</definedName>
    <definedName name="外部資料_3569" localSheetId="2">紅綠燈!#REF!</definedName>
    <definedName name="外部資料_357" localSheetId="7">PKA!#REF!</definedName>
    <definedName name="外部資料_357" localSheetId="8">PKB!#REF!</definedName>
    <definedName name="外部資料_357" localSheetId="9">PKC!#REF!</definedName>
    <definedName name="外部資料_357" localSheetId="2">紅綠燈!#REF!</definedName>
    <definedName name="外部資料_3571" localSheetId="2">紅綠燈!#REF!</definedName>
    <definedName name="外部資料_3572" localSheetId="2">紅綠燈!#REF!</definedName>
    <definedName name="外部資料_3573" localSheetId="2">紅綠燈!#REF!</definedName>
    <definedName name="外部資料_3575" localSheetId="2">紅綠燈!#REF!</definedName>
    <definedName name="外部資料_3576" localSheetId="2">紅綠燈!#REF!</definedName>
    <definedName name="外部資料_3577" localSheetId="2">紅綠燈!#REF!</definedName>
    <definedName name="外部資料_3579" localSheetId="2">紅綠燈!#REF!</definedName>
    <definedName name="外部資料_358" localSheetId="7">PKA!#REF!</definedName>
    <definedName name="外部資料_358" localSheetId="8">PKB!#REF!</definedName>
    <definedName name="外部資料_358" localSheetId="9">PKC!#REF!</definedName>
    <definedName name="外部資料_358" localSheetId="2">紅綠燈!#REF!</definedName>
    <definedName name="外部資料_3580" localSheetId="2">紅綠燈!#REF!</definedName>
    <definedName name="外部資料_3581" localSheetId="2">紅綠燈!#REF!</definedName>
    <definedName name="外部資料_3583" localSheetId="2">紅綠燈!#REF!</definedName>
    <definedName name="外部資料_3584" localSheetId="2">紅綠燈!#REF!</definedName>
    <definedName name="外部資料_3585" localSheetId="2">紅綠燈!#REF!</definedName>
    <definedName name="外部資料_3587" localSheetId="2">紅綠燈!#REF!</definedName>
    <definedName name="外部資料_3588" localSheetId="2">紅綠燈!#REF!</definedName>
    <definedName name="外部資料_3589" localSheetId="2">紅綠燈!#REF!</definedName>
    <definedName name="外部資料_359" localSheetId="7">PKA!#REF!</definedName>
    <definedName name="外部資料_359" localSheetId="8">PKB!#REF!</definedName>
    <definedName name="外部資料_359" localSheetId="9">PKC!#REF!</definedName>
    <definedName name="外部資料_3591" localSheetId="2">紅綠燈!#REF!</definedName>
    <definedName name="外部資料_3592" localSheetId="2">紅綠燈!#REF!</definedName>
    <definedName name="外部資料_3593" localSheetId="2">紅綠燈!#REF!</definedName>
    <definedName name="外部資料_3595" localSheetId="2">紅綠燈!#REF!</definedName>
    <definedName name="外部資料_3596" localSheetId="2">紅綠燈!#REF!</definedName>
    <definedName name="外部資料_3597" localSheetId="2">紅綠燈!#REF!</definedName>
    <definedName name="外部資料_3599" localSheetId="2">紅綠燈!#REF!</definedName>
    <definedName name="外部資料_36" localSheetId="7">PKA!#REF!</definedName>
    <definedName name="外部資料_36" localSheetId="8">PKB!#REF!</definedName>
    <definedName name="外部資料_36" localSheetId="9">PKC!#REF!</definedName>
    <definedName name="外部資料_36" localSheetId="13">PSR!#REF!</definedName>
    <definedName name="外部資料_36" localSheetId="2">紅綠燈!#REF!</definedName>
    <definedName name="外部資料_36" localSheetId="3">評比系統!#REF!</definedName>
    <definedName name="外部資料_36" localSheetId="4">篩股系統!#REF!</definedName>
    <definedName name="外部資料_36" localSheetId="11">營收搶先報!#REF!</definedName>
    <definedName name="外部資料_360" localSheetId="7">PKA!#REF!</definedName>
    <definedName name="外部資料_360" localSheetId="8">PKB!#REF!</definedName>
    <definedName name="外部資料_360" localSheetId="9">PKC!#REF!</definedName>
    <definedName name="外部資料_360" localSheetId="2">紅綠燈!#REF!</definedName>
    <definedName name="外部資料_3600" localSheetId="2">紅綠燈!#REF!</definedName>
    <definedName name="外部資料_3601" localSheetId="2">紅綠燈!#REF!</definedName>
    <definedName name="外部資料_3603" localSheetId="2">紅綠燈!#REF!</definedName>
    <definedName name="外部資料_3604" localSheetId="2">紅綠燈!#REF!</definedName>
    <definedName name="外部資料_3605" localSheetId="2">紅綠燈!#REF!</definedName>
    <definedName name="外部資料_3607" localSheetId="2">紅綠燈!#REF!</definedName>
    <definedName name="外部資料_3608" localSheetId="2">紅綠燈!#REF!</definedName>
    <definedName name="外部資料_3609" localSheetId="2">紅綠燈!#REF!</definedName>
    <definedName name="外部資料_361" localSheetId="7">PKA!#REF!</definedName>
    <definedName name="外部資料_361" localSheetId="8">PKB!#REF!</definedName>
    <definedName name="外部資料_361" localSheetId="9">PKC!#REF!</definedName>
    <definedName name="外部資料_361" localSheetId="2">紅綠燈!#REF!</definedName>
    <definedName name="外部資料_3611" localSheetId="2">紅綠燈!#REF!</definedName>
    <definedName name="外部資料_3612" localSheetId="2">紅綠燈!#REF!</definedName>
    <definedName name="外部資料_3613" localSheetId="2">紅綠燈!#REF!</definedName>
    <definedName name="外部資料_3615" localSheetId="2">紅綠燈!#REF!</definedName>
    <definedName name="外部資料_3616" localSheetId="2">紅綠燈!#REF!</definedName>
    <definedName name="外部資料_3617" localSheetId="2">紅綠燈!#REF!</definedName>
    <definedName name="外部資料_3619" localSheetId="2">紅綠燈!#REF!</definedName>
    <definedName name="外部資料_362" localSheetId="7">PKA!#REF!</definedName>
    <definedName name="外部資料_362" localSheetId="8">PKB!#REF!</definedName>
    <definedName name="外部資料_362" localSheetId="9">PKC!#REF!</definedName>
    <definedName name="外部資料_3620" localSheetId="2">紅綠燈!#REF!</definedName>
    <definedName name="外部資料_3621" localSheetId="2">紅綠燈!#REF!</definedName>
    <definedName name="外部資料_3623" localSheetId="2">紅綠燈!#REF!</definedName>
    <definedName name="外部資料_3624" localSheetId="2">紅綠燈!#REF!</definedName>
    <definedName name="外部資料_3625" localSheetId="2">紅綠燈!#REF!</definedName>
    <definedName name="外部資料_3627" localSheetId="2">紅綠燈!#REF!</definedName>
    <definedName name="外部資料_3628" localSheetId="2">紅綠燈!#REF!</definedName>
    <definedName name="外部資料_3629" localSheetId="2">紅綠燈!#REF!</definedName>
    <definedName name="外部資料_363" localSheetId="7">PKA!#REF!</definedName>
    <definedName name="外部資料_363" localSheetId="8">PKB!#REF!</definedName>
    <definedName name="外部資料_363" localSheetId="9">PKC!#REF!</definedName>
    <definedName name="外部資料_363" localSheetId="2">紅綠燈!#REF!</definedName>
    <definedName name="外部資料_3631" localSheetId="2">紅綠燈!#REF!</definedName>
    <definedName name="外部資料_3632" localSheetId="2">紅綠燈!#REF!</definedName>
    <definedName name="外部資料_3633" localSheetId="2">紅綠燈!#REF!</definedName>
    <definedName name="外部資料_3635" localSheetId="2">紅綠燈!#REF!</definedName>
    <definedName name="外部資料_3636" localSheetId="2">紅綠燈!#REF!</definedName>
    <definedName name="外部資料_3638" localSheetId="2">紅綠燈!#REF!</definedName>
    <definedName name="外部資料_3639" localSheetId="2">紅綠燈!#REF!</definedName>
    <definedName name="外部資料_364" localSheetId="7">PKA!#REF!</definedName>
    <definedName name="外部資料_364" localSheetId="8">PKB!#REF!</definedName>
    <definedName name="外部資料_364" localSheetId="9">PKC!#REF!</definedName>
    <definedName name="外部資料_364" localSheetId="2">紅綠燈!#REF!</definedName>
    <definedName name="外部資料_3640" localSheetId="2">紅綠燈!#REF!</definedName>
    <definedName name="外部資料_3642" localSheetId="2">紅綠燈!#REF!</definedName>
    <definedName name="外部資料_3643" localSheetId="2">紅綠燈!#REF!</definedName>
    <definedName name="外部資料_3644" localSheetId="2">紅綠燈!#REF!</definedName>
    <definedName name="外部資料_3646" localSheetId="2">紅綠燈!#REF!</definedName>
    <definedName name="外部資料_3647" localSheetId="2">紅綠燈!#REF!</definedName>
    <definedName name="外部資料_3648" localSheetId="2">紅綠燈!#REF!</definedName>
    <definedName name="外部資料_365" localSheetId="7">PKA!#REF!</definedName>
    <definedName name="外部資料_365" localSheetId="8">PKB!#REF!</definedName>
    <definedName name="外部資料_365" localSheetId="9">PKC!#REF!</definedName>
    <definedName name="外部資料_3650" localSheetId="2">紅綠燈!#REF!</definedName>
    <definedName name="外部資料_3651" localSheetId="2">紅綠燈!#REF!</definedName>
    <definedName name="外部資料_3652" localSheetId="2">紅綠燈!#REF!</definedName>
    <definedName name="外部資料_3654" localSheetId="2">紅綠燈!#REF!</definedName>
    <definedName name="外部資料_3655" localSheetId="2">紅綠燈!#REF!</definedName>
    <definedName name="外部資料_3656" localSheetId="2">紅綠燈!#REF!</definedName>
    <definedName name="外部資料_3658" localSheetId="2">紅綠燈!#REF!</definedName>
    <definedName name="外部資料_3659" localSheetId="2">紅綠燈!#REF!</definedName>
    <definedName name="外部資料_366" localSheetId="7">PKA!#REF!</definedName>
    <definedName name="外部資料_366" localSheetId="8">PKB!#REF!</definedName>
    <definedName name="外部資料_366" localSheetId="9">PKC!#REF!</definedName>
    <definedName name="外部資料_366" localSheetId="2">紅綠燈!#REF!</definedName>
    <definedName name="外部資料_3660" localSheetId="2">紅綠燈!#REF!</definedName>
    <definedName name="外部資料_3662" localSheetId="2">紅綠燈!#REF!</definedName>
    <definedName name="外部資料_3663" localSheetId="2">紅綠燈!#REF!</definedName>
    <definedName name="外部資料_3664" localSheetId="2">紅綠燈!#REF!</definedName>
    <definedName name="外部資料_3666" localSheetId="2">紅綠燈!#REF!</definedName>
    <definedName name="外部資料_3667" localSheetId="2">紅綠燈!#REF!</definedName>
    <definedName name="外部資料_3668" localSheetId="2">紅綠燈!#REF!</definedName>
    <definedName name="外部資料_367" localSheetId="7">PKA!#REF!</definedName>
    <definedName name="外部資料_367" localSheetId="8">PKB!#REF!</definedName>
    <definedName name="外部資料_367" localSheetId="9">PKC!#REF!</definedName>
    <definedName name="外部資料_367" localSheetId="2">紅綠燈!#REF!</definedName>
    <definedName name="外部資料_3670" localSheetId="2">紅綠燈!#REF!</definedName>
    <definedName name="外部資料_3671" localSheetId="2">紅綠燈!#REF!</definedName>
    <definedName name="外部資料_3673" localSheetId="2">紅綠燈!#REF!</definedName>
    <definedName name="外部資料_3674" localSheetId="2">紅綠燈!#REF!</definedName>
    <definedName name="外部資料_3675" localSheetId="2">紅綠燈!#REF!</definedName>
    <definedName name="外部資料_3677" localSheetId="2">紅綠燈!#REF!</definedName>
    <definedName name="外部資料_3678" localSheetId="2">紅綠燈!#REF!</definedName>
    <definedName name="外部資料_3679" localSheetId="2">紅綠燈!#REF!</definedName>
    <definedName name="外部資料_368" localSheetId="7">PKA!#REF!</definedName>
    <definedName name="外部資料_368" localSheetId="8">PKB!#REF!</definedName>
    <definedName name="外部資料_368" localSheetId="9">PKC!#REF!</definedName>
    <definedName name="外部資料_368" localSheetId="2">紅綠燈!#REF!</definedName>
    <definedName name="外部資料_3681" localSheetId="2">紅綠燈!#REF!</definedName>
    <definedName name="外部資料_3682" localSheetId="2">紅綠燈!#REF!</definedName>
    <definedName name="外部資料_3685" localSheetId="2">紅綠燈!#REF!</definedName>
    <definedName name="外部資料_3686" localSheetId="2">紅綠燈!#REF!</definedName>
    <definedName name="外部資料_3689" localSheetId="2">紅綠燈!#REF!</definedName>
    <definedName name="外部資料_369" localSheetId="7">PKA!#REF!</definedName>
    <definedName name="外部資料_369" localSheetId="8">PKB!#REF!</definedName>
    <definedName name="外部資料_369" localSheetId="9">PKC!#REF!</definedName>
    <definedName name="外部資料_3690" localSheetId="2">紅綠燈!#REF!</definedName>
    <definedName name="外部資料_3693" localSheetId="2">紅綠燈!#REF!</definedName>
    <definedName name="外部資料_3694" localSheetId="2">紅綠燈!#REF!</definedName>
    <definedName name="外部資料_3695" localSheetId="2">紅綠燈!#REF!</definedName>
    <definedName name="外部資料_3697" localSheetId="2">紅綠燈!#REF!</definedName>
    <definedName name="外部資料_3698" localSheetId="2">紅綠燈!#REF!</definedName>
    <definedName name="外部資料_3699" localSheetId="2">紅綠燈!#REF!</definedName>
    <definedName name="外部資料_37" localSheetId="7">PKA!#REF!</definedName>
    <definedName name="外部資料_37" localSheetId="8">PKB!#REF!</definedName>
    <definedName name="外部資料_37" localSheetId="9">PKC!#REF!</definedName>
    <definedName name="外部資料_37" localSheetId="13">PSR!#REF!</definedName>
    <definedName name="外部資料_37" localSheetId="2">紅綠燈!#REF!</definedName>
    <definedName name="外部資料_37" localSheetId="3">評比系統!#REF!</definedName>
    <definedName name="外部資料_37" localSheetId="10">福邦!#REF!</definedName>
    <definedName name="外部資料_37" localSheetId="4">篩股系統!#REF!</definedName>
    <definedName name="外部資料_37" localSheetId="11">營收搶先報!#REF!</definedName>
    <definedName name="外部資料_370" localSheetId="7">PKA!#REF!</definedName>
    <definedName name="外部資料_370" localSheetId="8">PKB!#REF!</definedName>
    <definedName name="外部資料_370" localSheetId="9">PKC!#REF!</definedName>
    <definedName name="外部資料_370" localSheetId="2">紅綠燈!#REF!</definedName>
    <definedName name="外部資料_3701" localSheetId="2">紅綠燈!#REF!</definedName>
    <definedName name="外部資料_3702" localSheetId="2">紅綠燈!#REF!</definedName>
    <definedName name="外部資料_3703" localSheetId="2">紅綠燈!#REF!</definedName>
    <definedName name="外部資料_3705" localSheetId="2">紅綠燈!#REF!</definedName>
    <definedName name="外部資料_3706" localSheetId="2">紅綠燈!#REF!</definedName>
    <definedName name="外部資料_3707" localSheetId="2">紅綠燈!#REF!</definedName>
    <definedName name="外部資料_3709" localSheetId="2">紅綠燈!#REF!</definedName>
    <definedName name="外部資料_371" localSheetId="7">PKA!#REF!</definedName>
    <definedName name="外部資料_371" localSheetId="8">PKB!#REF!</definedName>
    <definedName name="外部資料_371" localSheetId="9">PKC!#REF!</definedName>
    <definedName name="外部資料_371" localSheetId="2">紅綠燈!#REF!</definedName>
    <definedName name="外部資料_3710" localSheetId="2">紅綠燈!#REF!</definedName>
    <definedName name="外部資料_3711" localSheetId="2">紅綠燈!#REF!</definedName>
    <definedName name="外部資料_3713" localSheetId="2">紅綠燈!#REF!</definedName>
    <definedName name="外部資料_3714" localSheetId="2">紅綠燈!#REF!</definedName>
    <definedName name="外部資料_3715" localSheetId="2">紅綠燈!#REF!</definedName>
    <definedName name="外部資料_3717" localSheetId="2">紅綠燈!#REF!</definedName>
    <definedName name="外部資料_3718" localSheetId="2">紅綠燈!#REF!</definedName>
    <definedName name="外部資料_3719" localSheetId="2">紅綠燈!#REF!</definedName>
    <definedName name="外部資料_372" localSheetId="7">PKA!#REF!</definedName>
    <definedName name="外部資料_372" localSheetId="8">PKB!#REF!</definedName>
    <definedName name="外部資料_372" localSheetId="9">PKC!#REF!</definedName>
    <definedName name="外部資料_372" localSheetId="2">紅綠燈!#REF!</definedName>
    <definedName name="外部資料_3721" localSheetId="2">紅綠燈!#REF!</definedName>
    <definedName name="外部資料_3722" localSheetId="2">紅綠燈!#REF!</definedName>
    <definedName name="外部資料_3723" localSheetId="2">紅綠燈!#REF!</definedName>
    <definedName name="外部資料_3725" localSheetId="2">紅綠燈!#REF!</definedName>
    <definedName name="外部資料_3726" localSheetId="2">紅綠燈!#REF!</definedName>
    <definedName name="外部資料_3727" localSheetId="2">紅綠燈!#REF!</definedName>
    <definedName name="外部資料_3729" localSheetId="2">紅綠燈!#REF!</definedName>
    <definedName name="外部資料_373" localSheetId="7">PKA!#REF!</definedName>
    <definedName name="外部資料_373" localSheetId="8">PKB!#REF!</definedName>
    <definedName name="外部資料_373" localSheetId="9">PKC!#REF!</definedName>
    <definedName name="外部資料_3730" localSheetId="2">紅綠燈!#REF!</definedName>
    <definedName name="外部資料_3731" localSheetId="2">紅綠燈!#REF!</definedName>
    <definedName name="外部資料_3733" localSheetId="2">紅綠燈!#REF!</definedName>
    <definedName name="外部資料_3734" localSheetId="2">紅綠燈!#REF!</definedName>
    <definedName name="外部資料_3735" localSheetId="2">紅綠燈!#REF!</definedName>
    <definedName name="外部資料_3737" localSheetId="2">紅綠燈!#REF!</definedName>
    <definedName name="外部資料_3738" localSheetId="2">紅綠燈!#REF!</definedName>
    <definedName name="外部資料_3739" localSheetId="2">紅綠燈!#REF!</definedName>
    <definedName name="外部資料_374" localSheetId="7">PKA!#REF!</definedName>
    <definedName name="外部資料_374" localSheetId="8">PKB!#REF!</definedName>
    <definedName name="外部資料_374" localSheetId="9">PKC!#REF!</definedName>
    <definedName name="外部資料_374" localSheetId="2">紅綠燈!#REF!</definedName>
    <definedName name="外部資料_3741" localSheetId="2">紅綠燈!#REF!</definedName>
    <definedName name="外部資料_3742" localSheetId="2">紅綠燈!#REF!</definedName>
    <definedName name="外部資料_3743" localSheetId="2">紅綠燈!#REF!</definedName>
    <definedName name="外部資料_3745" localSheetId="2">紅綠燈!#REF!</definedName>
    <definedName name="外部資料_3746" localSheetId="2">紅綠燈!#REF!</definedName>
    <definedName name="外部資料_3747" localSheetId="2">紅綠燈!#REF!</definedName>
    <definedName name="外部資料_3749" localSheetId="2">紅綠燈!#REF!</definedName>
    <definedName name="外部資料_375" localSheetId="7">PKA!#REF!</definedName>
    <definedName name="外部資料_375" localSheetId="8">PKB!#REF!</definedName>
    <definedName name="外部資料_375" localSheetId="9">PKC!#REF!</definedName>
    <definedName name="外部資料_375" localSheetId="2">紅綠燈!#REF!</definedName>
    <definedName name="外部資料_3750" localSheetId="2">紅綠燈!#REF!</definedName>
    <definedName name="外部資料_3751" localSheetId="2">紅綠燈!#REF!</definedName>
    <definedName name="外部資料_3753" localSheetId="2">紅綠燈!#REF!</definedName>
    <definedName name="外部資料_3754" localSheetId="2">紅綠燈!#REF!</definedName>
    <definedName name="外部資料_3755" localSheetId="2">紅綠燈!#REF!</definedName>
    <definedName name="外部資料_3757" localSheetId="2">紅綠燈!#REF!</definedName>
    <definedName name="外部資料_3758" localSheetId="2">紅綠燈!#REF!</definedName>
    <definedName name="外部資料_3759" localSheetId="2">紅綠燈!#REF!</definedName>
    <definedName name="外部資料_376" localSheetId="7">PKA!#REF!</definedName>
    <definedName name="外部資料_376" localSheetId="8">PKB!#REF!</definedName>
    <definedName name="外部資料_376" localSheetId="9">PKC!#REF!</definedName>
    <definedName name="外部資料_376" localSheetId="2">紅綠燈!#REF!</definedName>
    <definedName name="外部資料_3761" localSheetId="2">紅綠燈!#REF!</definedName>
    <definedName name="外部資料_3762" localSheetId="2">紅綠燈!#REF!</definedName>
    <definedName name="外部資料_3763" localSheetId="2">紅綠燈!#REF!</definedName>
    <definedName name="外部資料_3765" localSheetId="2">紅綠燈!#REF!</definedName>
    <definedName name="外部資料_3766" localSheetId="2">紅綠燈!#REF!</definedName>
    <definedName name="外部資料_3767" localSheetId="2">紅綠燈!#REF!</definedName>
    <definedName name="外部資料_3769" localSheetId="2">紅綠燈!#REF!</definedName>
    <definedName name="外部資料_377" localSheetId="7">PKA!#REF!</definedName>
    <definedName name="外部資料_377" localSheetId="8">PKB!#REF!</definedName>
    <definedName name="外部資料_377" localSheetId="9">PKC!#REF!</definedName>
    <definedName name="外部資料_3770" localSheetId="2">紅綠燈!#REF!</definedName>
    <definedName name="外部資料_3771" localSheetId="2">紅綠燈!#REF!</definedName>
    <definedName name="外部資料_3773" localSheetId="2">紅綠燈!#REF!</definedName>
    <definedName name="外部資料_3774" localSheetId="2">紅綠燈!#REF!</definedName>
    <definedName name="外部資料_3775" localSheetId="2">紅綠燈!#REF!</definedName>
    <definedName name="外部資料_3777" localSheetId="2">紅綠燈!#REF!</definedName>
    <definedName name="外部資料_3778" localSheetId="2">紅綠燈!#REF!</definedName>
    <definedName name="外部資料_3779" localSheetId="2">紅綠燈!#REF!</definedName>
    <definedName name="外部資料_378" localSheetId="7">PKA!#REF!</definedName>
    <definedName name="外部資料_378" localSheetId="8">PKB!#REF!</definedName>
    <definedName name="外部資料_378" localSheetId="9">PKC!#REF!</definedName>
    <definedName name="外部資料_378" localSheetId="2">紅綠燈!#REF!</definedName>
    <definedName name="外部資料_3781" localSheetId="2">紅綠燈!#REF!</definedName>
    <definedName name="外部資料_3782" localSheetId="2">紅綠燈!#REF!</definedName>
    <definedName name="外部資料_3783" localSheetId="2">紅綠燈!#REF!</definedName>
    <definedName name="外部資料_3785" localSheetId="2">紅綠燈!#REF!</definedName>
    <definedName name="外部資料_3786" localSheetId="2">紅綠燈!#REF!</definedName>
    <definedName name="外部資料_3787" localSheetId="2">紅綠燈!#REF!</definedName>
    <definedName name="外部資料_3789" localSheetId="2">紅綠燈!#REF!</definedName>
    <definedName name="外部資料_379" localSheetId="7">PKA!#REF!</definedName>
    <definedName name="外部資料_379" localSheetId="8">PKB!#REF!</definedName>
    <definedName name="外部資料_379" localSheetId="9">PKC!#REF!</definedName>
    <definedName name="外部資料_379" localSheetId="2">紅綠燈!#REF!</definedName>
    <definedName name="外部資料_3790" localSheetId="2">紅綠燈!#REF!</definedName>
    <definedName name="外部資料_3791" localSheetId="2">紅綠燈!#REF!</definedName>
    <definedName name="外部資料_3793" localSheetId="2">紅綠燈!#REF!</definedName>
    <definedName name="外部資料_3794" localSheetId="2">紅綠燈!#REF!</definedName>
    <definedName name="外部資料_3795" localSheetId="2">紅綠燈!#REF!</definedName>
    <definedName name="外部資料_3797" localSheetId="2">紅綠燈!#REF!</definedName>
    <definedName name="外部資料_3798" localSheetId="2">紅綠燈!#REF!</definedName>
    <definedName name="外部資料_3799" localSheetId="2">紅綠燈!#REF!</definedName>
    <definedName name="外部資料_38" localSheetId="7">PKA!#REF!</definedName>
    <definedName name="外部資料_38" localSheetId="8">PKB!#REF!</definedName>
    <definedName name="外部資料_38" localSheetId="9">PKC!#REF!</definedName>
    <definedName name="外部資料_38" localSheetId="13">PSR!#REF!</definedName>
    <definedName name="外部資料_38" localSheetId="2">紅綠燈!#REF!</definedName>
    <definedName name="外部資料_38" localSheetId="3">評比系統!#REF!</definedName>
    <definedName name="外部資料_38" localSheetId="10">福邦!#REF!</definedName>
    <definedName name="外部資料_38" localSheetId="4">篩股系統!#REF!</definedName>
    <definedName name="外部資料_38" localSheetId="11">營收搶先報!#REF!</definedName>
    <definedName name="外部資料_380" localSheetId="7">PKA!#REF!</definedName>
    <definedName name="外部資料_380" localSheetId="8">PKB!#REF!</definedName>
    <definedName name="外部資料_380" localSheetId="9">PKC!#REF!</definedName>
    <definedName name="外部資料_380" localSheetId="2">紅綠燈!#REF!</definedName>
    <definedName name="外部資料_3801" localSheetId="2">紅綠燈!#REF!</definedName>
    <definedName name="外部資料_3802" localSheetId="2">紅綠燈!#REF!</definedName>
    <definedName name="外部資料_3803" localSheetId="2">紅綠燈!#REF!</definedName>
    <definedName name="外部資料_3805" localSheetId="2">紅綠燈!#REF!</definedName>
    <definedName name="外部資料_3806" localSheetId="2">紅綠燈!#REF!</definedName>
    <definedName name="外部資料_3807" localSheetId="2">紅綠燈!#REF!</definedName>
    <definedName name="外部資料_3809" localSheetId="2">紅綠燈!#REF!</definedName>
    <definedName name="外部資料_381" localSheetId="7">PKA!#REF!</definedName>
    <definedName name="外部資料_381" localSheetId="8">PKB!#REF!</definedName>
    <definedName name="外部資料_381" localSheetId="9">PKC!#REF!</definedName>
    <definedName name="外部資料_3810" localSheetId="2">紅綠燈!#REF!</definedName>
    <definedName name="外部資料_3811" localSheetId="2">紅綠燈!#REF!</definedName>
    <definedName name="外部資料_3813" localSheetId="2">紅綠燈!#REF!</definedName>
    <definedName name="外部資料_3814" localSheetId="2">紅綠燈!#REF!</definedName>
    <definedName name="外部資料_3815" localSheetId="2">紅綠燈!#REF!</definedName>
    <definedName name="外部資料_3817" localSheetId="2">紅綠燈!#REF!</definedName>
    <definedName name="外部資料_3818" localSheetId="2">紅綠燈!#REF!</definedName>
    <definedName name="外部資料_3819" localSheetId="2">紅綠燈!#REF!</definedName>
    <definedName name="外部資料_382" localSheetId="7">PKA!#REF!</definedName>
    <definedName name="外部資料_382" localSheetId="8">PKB!#REF!</definedName>
    <definedName name="外部資料_382" localSheetId="9">PKC!#REF!</definedName>
    <definedName name="外部資料_382" localSheetId="2">紅綠燈!#REF!</definedName>
    <definedName name="外部資料_3821" localSheetId="2">紅綠燈!#REF!</definedName>
    <definedName name="外部資料_3822" localSheetId="2">紅綠燈!#REF!</definedName>
    <definedName name="外部資料_3823" localSheetId="2">紅綠燈!#REF!</definedName>
    <definedName name="外部資料_3825" localSheetId="2">紅綠燈!#REF!</definedName>
    <definedName name="外部資料_3826" localSheetId="2">紅綠燈!#REF!</definedName>
    <definedName name="外部資料_3827" localSheetId="2">紅綠燈!#REF!</definedName>
    <definedName name="外部資料_3829" localSheetId="2">紅綠燈!#REF!</definedName>
    <definedName name="外部資料_383" localSheetId="7">PKA!#REF!</definedName>
    <definedName name="外部資料_383" localSheetId="8">PKB!#REF!</definedName>
    <definedName name="外部資料_383" localSheetId="9">PKC!#REF!</definedName>
    <definedName name="外部資料_383" localSheetId="2">紅綠燈!#REF!</definedName>
    <definedName name="外部資料_3830" localSheetId="2">紅綠燈!#REF!</definedName>
    <definedName name="外部資料_3831" localSheetId="2">紅綠燈!#REF!</definedName>
    <definedName name="外部資料_3833" localSheetId="2">紅綠燈!#REF!</definedName>
    <definedName name="外部資料_3834" localSheetId="2">紅綠燈!#REF!</definedName>
    <definedName name="外部資料_3836" localSheetId="2">紅綠燈!#REF!</definedName>
    <definedName name="外部資料_3837" localSheetId="2">紅綠燈!#REF!</definedName>
    <definedName name="外部資料_3838" localSheetId="2">紅綠燈!#REF!</definedName>
    <definedName name="外部資料_384" localSheetId="7">PKA!#REF!</definedName>
    <definedName name="外部資料_384" localSheetId="8">PKB!#REF!</definedName>
    <definedName name="外部資料_384" localSheetId="9">PKC!#REF!</definedName>
    <definedName name="外部資料_384" localSheetId="2">紅綠燈!#REF!</definedName>
    <definedName name="外部資料_3840" localSheetId="2">紅綠燈!#REF!</definedName>
    <definedName name="外部資料_3841" localSheetId="2">紅綠燈!#REF!</definedName>
    <definedName name="外部資料_3842" localSheetId="2">紅綠燈!#REF!</definedName>
    <definedName name="外部資料_3844" localSheetId="2">紅綠燈!#REF!</definedName>
    <definedName name="外部資料_3845" localSheetId="2">紅綠燈!#REF!</definedName>
    <definedName name="外部資料_3846" localSheetId="2">紅綠燈!#REF!</definedName>
    <definedName name="外部資料_3848" localSheetId="2">紅綠燈!#REF!</definedName>
    <definedName name="外部資料_3849" localSheetId="2">紅綠燈!#REF!</definedName>
    <definedName name="外部資料_385" localSheetId="7">PKA!#REF!</definedName>
    <definedName name="外部資料_385" localSheetId="8">PKB!#REF!</definedName>
    <definedName name="外部資料_385" localSheetId="9">PKC!#REF!</definedName>
    <definedName name="外部資料_3850" localSheetId="2">紅綠燈!#REF!</definedName>
    <definedName name="外部資料_3852" localSheetId="2">紅綠燈!#REF!</definedName>
    <definedName name="外部資料_3853" localSheetId="2">紅綠燈!#REF!</definedName>
    <definedName name="外部資料_3854" localSheetId="2">紅綠燈!#REF!</definedName>
    <definedName name="外部資料_3856" localSheetId="2">紅綠燈!#REF!</definedName>
    <definedName name="外部資料_3857" localSheetId="2">紅綠燈!#REF!</definedName>
    <definedName name="外部資料_3858" localSheetId="2">紅綠燈!#REF!</definedName>
    <definedName name="外部資料_386" localSheetId="7">PKA!#REF!</definedName>
    <definedName name="外部資料_386" localSheetId="8">PKB!#REF!</definedName>
    <definedName name="外部資料_386" localSheetId="9">PKC!#REF!</definedName>
    <definedName name="外部資料_386" localSheetId="2">紅綠燈!#REF!</definedName>
    <definedName name="外部資料_3860" localSheetId="2">紅綠燈!#REF!</definedName>
    <definedName name="外部資料_3861" localSheetId="2">紅綠燈!#REF!</definedName>
    <definedName name="外部資料_3862" localSheetId="2">紅綠燈!#REF!</definedName>
    <definedName name="外部資料_3864" localSheetId="2">紅綠燈!#REF!</definedName>
    <definedName name="外部資料_3865" localSheetId="2">紅綠燈!#REF!</definedName>
    <definedName name="外部資料_3866" localSheetId="2">紅綠燈!#REF!</definedName>
    <definedName name="外部資料_3868" localSheetId="2">紅綠燈!#REF!</definedName>
    <definedName name="外部資料_3869" localSheetId="2">紅綠燈!#REF!</definedName>
    <definedName name="外部資料_387" localSheetId="7">PKA!#REF!</definedName>
    <definedName name="外部資料_387" localSheetId="8">PKB!#REF!</definedName>
    <definedName name="外部資料_387" localSheetId="9">PKC!#REF!</definedName>
    <definedName name="外部資料_387" localSheetId="2">紅綠燈!#REF!</definedName>
    <definedName name="外部資料_3870" localSheetId="2">紅綠燈!#REF!</definedName>
    <definedName name="外部資料_3872" localSheetId="2">紅綠燈!#REF!</definedName>
    <definedName name="外部資料_3873" localSheetId="2">紅綠燈!#REF!</definedName>
    <definedName name="外部資料_3874" localSheetId="2">紅綠燈!#REF!</definedName>
    <definedName name="外部資料_3876" localSheetId="2">紅綠燈!#REF!</definedName>
    <definedName name="外部資料_3877" localSheetId="2">紅綠燈!#REF!</definedName>
    <definedName name="外部資料_3878" localSheetId="2">紅綠燈!#REF!</definedName>
    <definedName name="外部資料_388" localSheetId="7">PKA!#REF!</definedName>
    <definedName name="外部資料_388" localSheetId="8">PKB!#REF!</definedName>
    <definedName name="外部資料_388" localSheetId="9">PKC!#REF!</definedName>
    <definedName name="外部資料_388" localSheetId="2">紅綠燈!#REF!</definedName>
    <definedName name="外部資料_3880" localSheetId="2">紅綠燈!#REF!</definedName>
    <definedName name="外部資料_3881" localSheetId="2">紅綠燈!#REF!</definedName>
    <definedName name="外部資料_3882" localSheetId="2">紅綠燈!#REF!</definedName>
    <definedName name="外部資料_3884" localSheetId="2">紅綠燈!#REF!</definedName>
    <definedName name="外部資料_3885" localSheetId="2">紅綠燈!#REF!</definedName>
    <definedName name="外部資料_3886" localSheetId="2">紅綠燈!#REF!</definedName>
    <definedName name="外部資料_3888" localSheetId="2">紅綠燈!#REF!</definedName>
    <definedName name="外部資料_3889" localSheetId="2">紅綠燈!#REF!</definedName>
    <definedName name="外部資料_389" localSheetId="7">PKA!#REF!</definedName>
    <definedName name="外部資料_389" localSheetId="8">PKB!#REF!</definedName>
    <definedName name="外部資料_389" localSheetId="9">PKC!#REF!</definedName>
    <definedName name="外部資料_3890" localSheetId="2">紅綠燈!#REF!</definedName>
    <definedName name="外部資料_3892" localSheetId="2">紅綠燈!#REF!</definedName>
    <definedName name="外部資料_3893" localSheetId="2">紅綠燈!#REF!</definedName>
    <definedName name="外部資料_3894" localSheetId="2">紅綠燈!#REF!</definedName>
    <definedName name="外部資料_3896" localSheetId="2">紅綠燈!#REF!</definedName>
    <definedName name="外部資料_3897" localSheetId="2">紅綠燈!#REF!</definedName>
    <definedName name="外部資料_3898" localSheetId="2">紅綠燈!#REF!</definedName>
    <definedName name="外部資料_39" localSheetId="7">PKA!#REF!</definedName>
    <definedName name="外部資料_39" localSheetId="8">PKB!#REF!</definedName>
    <definedName name="外部資料_39" localSheetId="9">PKC!#REF!</definedName>
    <definedName name="外部資料_39" localSheetId="13">PSR!#REF!</definedName>
    <definedName name="外部資料_39" localSheetId="2">紅綠燈!#REF!</definedName>
    <definedName name="外部資料_39" localSheetId="3">評比系統!#REF!</definedName>
    <definedName name="外部資料_39" localSheetId="10">福邦!#REF!</definedName>
    <definedName name="外部資料_39" localSheetId="4">篩股系統!#REF!</definedName>
    <definedName name="外部資料_39" localSheetId="11">營收搶先報!#REF!</definedName>
    <definedName name="外部資料_390" localSheetId="7">PKA!#REF!</definedName>
    <definedName name="外部資料_390" localSheetId="8">PKB!#REF!</definedName>
    <definedName name="外部資料_390" localSheetId="9">PKC!#REF!</definedName>
    <definedName name="外部資料_390" localSheetId="2">紅綠燈!#REF!</definedName>
    <definedName name="外部資料_3900" localSheetId="2">紅綠燈!#REF!</definedName>
    <definedName name="外部資料_3901" localSheetId="2">紅綠燈!#REF!</definedName>
    <definedName name="外部資料_3902" localSheetId="2">紅綠燈!#REF!</definedName>
    <definedName name="外部資料_3904" localSheetId="2">紅綠燈!#REF!</definedName>
    <definedName name="外部資料_3905" localSheetId="2">紅綠燈!#REF!</definedName>
    <definedName name="外部資料_3906" localSheetId="2">紅綠燈!#REF!</definedName>
    <definedName name="外部資料_3908" localSheetId="2">紅綠燈!#REF!</definedName>
    <definedName name="外部資料_3909" localSheetId="2">紅綠燈!#REF!</definedName>
    <definedName name="外部資料_391" localSheetId="7">PKA!#REF!</definedName>
    <definedName name="外部資料_391" localSheetId="8">PKB!#REF!</definedName>
    <definedName name="外部資料_391" localSheetId="9">PKC!#REF!</definedName>
    <definedName name="外部資料_391" localSheetId="2">紅綠燈!#REF!</definedName>
    <definedName name="外部資料_3910" localSheetId="2">紅綠燈!#REF!</definedName>
    <definedName name="外部資料_3912" localSheetId="2">紅綠燈!#REF!</definedName>
    <definedName name="外部資料_3913" localSheetId="2">紅綠燈!#REF!</definedName>
    <definedName name="外部資料_3914" localSheetId="2">紅綠燈!#REF!</definedName>
    <definedName name="外部資料_3916" localSheetId="2">紅綠燈!#REF!</definedName>
    <definedName name="外部資料_3917" localSheetId="2">紅綠燈!#REF!</definedName>
    <definedName name="外部資料_3918" localSheetId="2">紅綠燈!#REF!</definedName>
    <definedName name="外部資料_392" localSheetId="7">PKA!#REF!</definedName>
    <definedName name="外部資料_392" localSheetId="8">PKB!#REF!</definedName>
    <definedName name="外部資料_392" localSheetId="9">PKC!#REF!</definedName>
    <definedName name="外部資料_392" localSheetId="2">紅綠燈!#REF!</definedName>
    <definedName name="外部資料_3920" localSheetId="2">紅綠燈!#REF!</definedName>
    <definedName name="外部資料_3921" localSheetId="2">紅綠燈!#REF!</definedName>
    <definedName name="外部資料_3922" localSheetId="2">紅綠燈!#REF!</definedName>
    <definedName name="外部資料_3924" localSheetId="2">紅綠燈!#REF!</definedName>
    <definedName name="外部資料_3925" localSheetId="2">紅綠燈!#REF!</definedName>
    <definedName name="外部資料_3926" localSheetId="2">紅綠燈!#REF!</definedName>
    <definedName name="外部資料_3928" localSheetId="2">紅綠燈!#REF!</definedName>
    <definedName name="外部資料_3929" localSheetId="2">紅綠燈!#REF!</definedName>
    <definedName name="外部資料_393" localSheetId="7">PKA!#REF!</definedName>
    <definedName name="外部資料_393" localSheetId="8">PKB!#REF!</definedName>
    <definedName name="外部資料_393" localSheetId="9">PKC!#REF!</definedName>
    <definedName name="外部資料_3930" localSheetId="2">紅綠燈!#REF!</definedName>
    <definedName name="外部資料_3932" localSheetId="2">紅綠燈!#REF!</definedName>
    <definedName name="外部資料_3933" localSheetId="2">紅綠燈!#REF!</definedName>
    <definedName name="外部資料_3934" localSheetId="2">紅綠燈!#REF!</definedName>
    <definedName name="外部資料_3936" localSheetId="2">紅綠燈!#REF!</definedName>
    <definedName name="外部資料_3937" localSheetId="2">紅綠燈!#REF!</definedName>
    <definedName name="外部資料_3938" localSheetId="2">紅綠燈!#REF!</definedName>
    <definedName name="外部資料_394" localSheetId="7">PKA!#REF!</definedName>
    <definedName name="外部資料_394" localSheetId="8">PKB!#REF!</definedName>
    <definedName name="外部資料_394" localSheetId="9">PKC!#REF!</definedName>
    <definedName name="外部資料_394" localSheetId="2">紅綠燈!#REF!</definedName>
    <definedName name="外部資料_3940" localSheetId="2">紅綠燈!#REF!</definedName>
    <definedName name="外部資料_3941" localSheetId="2">紅綠燈!#REF!</definedName>
    <definedName name="外部資料_3942" localSheetId="2">紅綠燈!#REF!</definedName>
    <definedName name="外部資料_3944" localSheetId="2">紅綠燈!#REF!</definedName>
    <definedName name="外部資料_3945" localSheetId="2">紅綠燈!#REF!</definedName>
    <definedName name="外部資料_3946" localSheetId="2">紅綠燈!#REF!</definedName>
    <definedName name="外部資料_3948" localSheetId="2">紅綠燈!#REF!</definedName>
    <definedName name="外部資料_3949" localSheetId="2">紅綠燈!#REF!</definedName>
    <definedName name="外部資料_395" localSheetId="7">PKA!#REF!</definedName>
    <definedName name="外部資料_395" localSheetId="8">PKB!#REF!</definedName>
    <definedName name="外部資料_395" localSheetId="9">PKC!#REF!</definedName>
    <definedName name="外部資料_395" localSheetId="2">紅綠燈!#REF!</definedName>
    <definedName name="外部資料_3950" localSheetId="2">紅綠燈!#REF!</definedName>
    <definedName name="外部資料_3952" localSheetId="2">紅綠燈!#REF!</definedName>
    <definedName name="外部資料_3953" localSheetId="2">紅綠燈!#REF!</definedName>
    <definedName name="外部資料_3954" localSheetId="2">紅綠燈!#REF!</definedName>
    <definedName name="外部資料_3956" localSheetId="2">紅綠燈!#REF!</definedName>
    <definedName name="外部資料_3957" localSheetId="2">紅綠燈!#REF!</definedName>
    <definedName name="外部資料_3958" localSheetId="2">紅綠燈!#REF!</definedName>
    <definedName name="外部資料_396" localSheetId="7">PKA!#REF!</definedName>
    <definedName name="外部資料_396" localSheetId="8">PKB!#REF!</definedName>
    <definedName name="外部資料_396" localSheetId="9">PKC!#REF!</definedName>
    <definedName name="外部資料_396" localSheetId="2">紅綠燈!#REF!</definedName>
    <definedName name="外部資料_3960" localSheetId="2">紅綠燈!#REF!</definedName>
    <definedName name="外部資料_3961" localSheetId="2">紅綠燈!#REF!</definedName>
    <definedName name="外部資料_3962" localSheetId="2">紅綠燈!#REF!</definedName>
    <definedName name="外部資料_3964" localSheetId="2">紅綠燈!#REF!</definedName>
    <definedName name="外部資料_3965" localSheetId="2">紅綠燈!#REF!</definedName>
    <definedName name="外部資料_3966" localSheetId="2">紅綠燈!#REF!</definedName>
    <definedName name="外部資料_3968" localSheetId="2">紅綠燈!#REF!</definedName>
    <definedName name="外部資料_3969" localSheetId="2">紅綠燈!#REF!</definedName>
    <definedName name="外部資料_397" localSheetId="7">PKA!#REF!</definedName>
    <definedName name="外部資料_397" localSheetId="8">PKB!#REF!</definedName>
    <definedName name="外部資料_397" localSheetId="9">PKC!#REF!</definedName>
    <definedName name="外部資料_3970" localSheetId="2">紅綠燈!#REF!</definedName>
    <definedName name="外部資料_3972" localSheetId="2">紅綠燈!#REF!</definedName>
    <definedName name="外部資料_3973" localSheetId="2">紅綠燈!#REF!</definedName>
    <definedName name="外部資料_3974" localSheetId="2">紅綠燈!#REF!</definedName>
    <definedName name="外部資料_3976" localSheetId="2">紅綠燈!#REF!</definedName>
    <definedName name="外部資料_3977" localSheetId="2">紅綠燈!#REF!</definedName>
    <definedName name="外部資料_3978" localSheetId="2">紅綠燈!#REF!</definedName>
    <definedName name="外部資料_398" localSheetId="7">PKA!#REF!</definedName>
    <definedName name="外部資料_398" localSheetId="8">PKB!#REF!</definedName>
    <definedName name="外部資料_398" localSheetId="9">PKC!#REF!</definedName>
    <definedName name="外部資料_398" localSheetId="2">紅綠燈!#REF!</definedName>
    <definedName name="外部資料_3980" localSheetId="2">紅綠燈!#REF!</definedName>
    <definedName name="外部資料_3981" localSheetId="2">紅綠燈!#REF!</definedName>
    <definedName name="外部資料_3982" localSheetId="2">紅綠燈!#REF!</definedName>
    <definedName name="外部資料_3984" localSheetId="2">紅綠燈!#REF!</definedName>
    <definedName name="外部資料_3985" localSheetId="2">紅綠燈!#REF!</definedName>
    <definedName name="外部資料_3986" localSheetId="2">紅綠燈!#REF!</definedName>
    <definedName name="外部資料_3988" localSheetId="2">紅綠燈!#REF!</definedName>
    <definedName name="外部資料_3989" localSheetId="2">紅綠燈!#REF!</definedName>
    <definedName name="外部資料_399" localSheetId="7">PKA!#REF!</definedName>
    <definedName name="外部資料_399" localSheetId="8">PKB!#REF!</definedName>
    <definedName name="外部資料_399" localSheetId="9">PKC!#REF!</definedName>
    <definedName name="外部資料_399" localSheetId="2">紅綠燈!#REF!</definedName>
    <definedName name="外部資料_3990" localSheetId="2">紅綠燈!#REF!</definedName>
    <definedName name="外部資料_3992" localSheetId="2">紅綠燈!#REF!</definedName>
    <definedName name="外部資料_3993" localSheetId="2">紅綠燈!#REF!</definedName>
    <definedName name="外部資料_3994" localSheetId="2">紅綠燈!#REF!</definedName>
    <definedName name="外部資料_3996" localSheetId="2">紅綠燈!#REF!</definedName>
    <definedName name="外部資料_3997" localSheetId="2">紅綠燈!#REF!</definedName>
    <definedName name="外部資料_3998" localSheetId="2">紅綠燈!#REF!</definedName>
    <definedName name="外部資料_4" localSheetId="7">PKA!#REF!</definedName>
    <definedName name="外部資料_4" localSheetId="8">PKB!#REF!</definedName>
    <definedName name="外部資料_4" localSheetId="9">PKC!#REF!</definedName>
    <definedName name="外部資料_4" localSheetId="13">PSR!#REF!</definedName>
    <definedName name="外部資料_4" localSheetId="2">紅綠燈!#REF!</definedName>
    <definedName name="外部資料_4" localSheetId="3">評比系統!#REF!</definedName>
    <definedName name="外部資料_4" localSheetId="10">福邦!#REF!</definedName>
    <definedName name="外部資料_4" localSheetId="4">篩股系統!#REF!</definedName>
    <definedName name="外部資料_4" localSheetId="11">營收搶先報!#REF!</definedName>
    <definedName name="外部資料_40" localSheetId="7">PKA!#REF!</definedName>
    <definedName name="外部資料_40" localSheetId="8">PKB!#REF!</definedName>
    <definedName name="外部資料_40" localSheetId="9">PKC!#REF!</definedName>
    <definedName name="外部資料_40" localSheetId="13">PSR!#REF!</definedName>
    <definedName name="外部資料_40" localSheetId="2">紅綠燈!#REF!</definedName>
    <definedName name="外部資料_40" localSheetId="3">評比系統!#REF!</definedName>
    <definedName name="外部資料_40" localSheetId="10">福邦!#REF!</definedName>
    <definedName name="外部資料_40" localSheetId="11">營收搶先報!#REF!</definedName>
    <definedName name="外部資料_400" localSheetId="7">PKA!#REF!</definedName>
    <definedName name="外部資料_400" localSheetId="8">PKB!#REF!</definedName>
    <definedName name="外部資料_400" localSheetId="9">PKC!#REF!</definedName>
    <definedName name="外部資料_400" localSheetId="2">紅綠燈!#REF!</definedName>
    <definedName name="外部資料_4000" localSheetId="2">紅綠燈!#REF!</definedName>
    <definedName name="外部資料_4001" localSheetId="2">紅綠燈!#REF!</definedName>
    <definedName name="外部資料_4003" localSheetId="2">紅綠燈!#REF!</definedName>
    <definedName name="外部資料_4004" localSheetId="2">紅綠燈!#REF!</definedName>
    <definedName name="外部資料_4005" localSheetId="2">紅綠燈!#REF!</definedName>
    <definedName name="外部資料_4007" localSheetId="2">紅綠燈!#REF!</definedName>
    <definedName name="外部資料_4008" localSheetId="2">紅綠燈!#REF!</definedName>
    <definedName name="外部資料_4009" localSheetId="2">紅綠燈!#REF!</definedName>
    <definedName name="外部資料_401" localSheetId="7">PKA!#REF!</definedName>
    <definedName name="外部資料_401" localSheetId="8">PKB!#REF!</definedName>
    <definedName name="外部資料_401" localSheetId="9">PKC!#REF!</definedName>
    <definedName name="外部資料_4011" localSheetId="2">紅綠燈!#REF!</definedName>
    <definedName name="外部資料_4012" localSheetId="2">紅綠燈!#REF!</definedName>
    <definedName name="外部資料_4013" localSheetId="2">紅綠燈!#REF!</definedName>
    <definedName name="外部資料_4015" localSheetId="2">紅綠燈!#REF!</definedName>
    <definedName name="外部資料_4016" localSheetId="2">紅綠燈!#REF!</definedName>
    <definedName name="外部資料_4017" localSheetId="2">紅綠燈!#REF!</definedName>
    <definedName name="外部資料_4019" localSheetId="2">紅綠燈!#REF!</definedName>
    <definedName name="外部資料_402" localSheetId="7">PKA!#REF!</definedName>
    <definedName name="外部資料_402" localSheetId="8">PKB!#REF!</definedName>
    <definedName name="外部資料_402" localSheetId="9">PKC!#REF!</definedName>
    <definedName name="外部資料_402" localSheetId="2">紅綠燈!#REF!</definedName>
    <definedName name="外部資料_4020" localSheetId="2">紅綠燈!#REF!</definedName>
    <definedName name="外部資料_4021" localSheetId="2">紅綠燈!#REF!</definedName>
    <definedName name="外部資料_4023" localSheetId="2">紅綠燈!#REF!</definedName>
    <definedName name="外部資料_4024" localSheetId="2">紅綠燈!#REF!</definedName>
    <definedName name="外部資料_4025" localSheetId="2">紅綠燈!#REF!</definedName>
    <definedName name="外部資料_4027" localSheetId="2">紅綠燈!#REF!</definedName>
    <definedName name="外部資料_4028" localSheetId="2">紅綠燈!#REF!</definedName>
    <definedName name="外部資料_4029" localSheetId="2">紅綠燈!#REF!</definedName>
    <definedName name="外部資料_403" localSheetId="7">PKA!#REF!</definedName>
    <definedName name="外部資料_403" localSheetId="8">PKB!#REF!</definedName>
    <definedName name="外部資料_403" localSheetId="9">PKC!#REF!</definedName>
    <definedName name="外部資料_403" localSheetId="2">紅綠燈!#REF!</definedName>
    <definedName name="外部資料_4031" localSheetId="2">紅綠燈!#REF!</definedName>
    <definedName name="外部資料_4032" localSheetId="2">紅綠燈!#REF!</definedName>
    <definedName name="外部資料_4033" localSheetId="2">紅綠燈!#REF!</definedName>
    <definedName name="外部資料_4035" localSheetId="2">紅綠燈!#REF!</definedName>
    <definedName name="外部資料_4036" localSheetId="2">紅綠燈!#REF!</definedName>
    <definedName name="外部資料_4037" localSheetId="2">紅綠燈!#REF!</definedName>
    <definedName name="外部資料_4039" localSheetId="2">紅綠燈!#REF!</definedName>
    <definedName name="外部資料_404" localSheetId="7">PKA!#REF!</definedName>
    <definedName name="外部資料_404" localSheetId="8">PKB!#REF!</definedName>
    <definedName name="外部資料_404" localSheetId="9">PKC!#REF!</definedName>
    <definedName name="外部資料_404" localSheetId="2">紅綠燈!#REF!</definedName>
    <definedName name="外部資料_4040" localSheetId="2">紅綠燈!#REF!</definedName>
    <definedName name="外部資料_4041" localSheetId="2">紅綠燈!#REF!</definedName>
    <definedName name="外部資料_4043" localSheetId="2">紅綠燈!#REF!</definedName>
    <definedName name="外部資料_4044" localSheetId="2">紅綠燈!#REF!</definedName>
    <definedName name="外部資料_4045" localSheetId="2">紅綠燈!#REF!</definedName>
    <definedName name="外部資料_4047" localSheetId="2">紅綠燈!#REF!</definedName>
    <definedName name="外部資料_4048" localSheetId="2">紅綠燈!#REF!</definedName>
    <definedName name="外部資料_4049" localSheetId="2">紅綠燈!#REF!</definedName>
    <definedName name="外部資料_405" localSheetId="7">PKA!#REF!</definedName>
    <definedName name="外部資料_405" localSheetId="8">PKB!#REF!</definedName>
    <definedName name="外部資料_405" localSheetId="9">PKC!#REF!</definedName>
    <definedName name="外部資料_4051" localSheetId="2">紅綠燈!#REF!</definedName>
    <definedName name="外部資料_4052" localSheetId="2">紅綠燈!#REF!</definedName>
    <definedName name="外部資料_4053" localSheetId="2">紅綠燈!#REF!</definedName>
    <definedName name="外部資料_4055" localSheetId="2">紅綠燈!#REF!</definedName>
    <definedName name="外部資料_4056" localSheetId="2">紅綠燈!#REF!</definedName>
    <definedName name="外部資料_4057" localSheetId="2">紅綠燈!#REF!</definedName>
    <definedName name="外部資料_4059" localSheetId="2">紅綠燈!#REF!</definedName>
    <definedName name="外部資料_406" localSheetId="7">PKA!#REF!</definedName>
    <definedName name="外部資料_406" localSheetId="8">PKB!#REF!</definedName>
    <definedName name="外部資料_406" localSheetId="9">PKC!#REF!</definedName>
    <definedName name="外部資料_406" localSheetId="2">紅綠燈!#REF!</definedName>
    <definedName name="外部資料_4060" localSheetId="2">紅綠燈!#REF!</definedName>
    <definedName name="外部資料_4061" localSheetId="2">紅綠燈!#REF!</definedName>
    <definedName name="外部資料_4063" localSheetId="2">紅綠燈!#REF!</definedName>
    <definedName name="外部資料_4064" localSheetId="2">紅綠燈!#REF!</definedName>
    <definedName name="外部資料_4065" localSheetId="2">紅綠燈!#REF!</definedName>
    <definedName name="外部資料_4067" localSheetId="2">紅綠燈!#REF!</definedName>
    <definedName name="外部資料_4068" localSheetId="2">紅綠燈!#REF!</definedName>
    <definedName name="外部資料_4069" localSheetId="2">紅綠燈!#REF!</definedName>
    <definedName name="外部資料_407" localSheetId="7">PKA!#REF!</definedName>
    <definedName name="外部資料_407" localSheetId="8">PKB!#REF!</definedName>
    <definedName name="外部資料_407" localSheetId="9">PKC!#REF!</definedName>
    <definedName name="外部資料_407" localSheetId="2">紅綠燈!#REF!</definedName>
    <definedName name="外部資料_4071" localSheetId="2">紅綠燈!#REF!</definedName>
    <definedName name="外部資料_4072" localSheetId="2">紅綠燈!#REF!</definedName>
    <definedName name="外部資料_4073" localSheetId="2">紅綠燈!#REF!</definedName>
    <definedName name="外部資料_4075" localSheetId="2">紅綠燈!#REF!</definedName>
    <definedName name="外部資料_4076" localSheetId="2">紅綠燈!#REF!</definedName>
    <definedName name="外部資料_4077" localSheetId="2">紅綠燈!#REF!</definedName>
    <definedName name="外部資料_4079" localSheetId="2">紅綠燈!#REF!</definedName>
    <definedName name="外部資料_408" localSheetId="7">PKA!#REF!</definedName>
    <definedName name="外部資料_408" localSheetId="8">PKB!#REF!</definedName>
    <definedName name="外部資料_408" localSheetId="9">PKC!#REF!</definedName>
    <definedName name="外部資料_408" localSheetId="2">紅綠燈!#REF!</definedName>
    <definedName name="外部資料_4080" localSheetId="2">紅綠燈!#REF!</definedName>
    <definedName name="外部資料_4081" localSheetId="2">紅綠燈!#REF!</definedName>
    <definedName name="外部資料_4083" localSheetId="2">紅綠燈!#REF!</definedName>
    <definedName name="外部資料_4084" localSheetId="2">紅綠燈!#REF!</definedName>
    <definedName name="外部資料_4085" localSheetId="2">紅綠燈!#REF!</definedName>
    <definedName name="外部資料_4087" localSheetId="2">紅綠燈!#REF!</definedName>
    <definedName name="外部資料_4088" localSheetId="2">紅綠燈!#REF!</definedName>
    <definedName name="外部資料_4089" localSheetId="2">紅綠燈!#REF!</definedName>
    <definedName name="外部資料_409" localSheetId="7">PKA!#REF!</definedName>
    <definedName name="外部資料_409" localSheetId="8">PKB!#REF!</definedName>
    <definedName name="外部資料_409" localSheetId="9">PKC!#REF!</definedName>
    <definedName name="外部資料_4091" localSheetId="2">紅綠燈!#REF!</definedName>
    <definedName name="外部資料_4092" localSheetId="2">紅綠燈!#REF!</definedName>
    <definedName name="外部資料_4093" localSheetId="2">紅綠燈!#REF!</definedName>
    <definedName name="外部資料_4095" localSheetId="2">紅綠燈!#REF!</definedName>
    <definedName name="外部資料_4096" localSheetId="2">紅綠燈!#REF!</definedName>
    <definedName name="外部資料_4097" localSheetId="2">紅綠燈!#REF!</definedName>
    <definedName name="外部資料_4099" localSheetId="2">紅綠燈!#REF!</definedName>
    <definedName name="外部資料_41" localSheetId="7">PKA!#REF!</definedName>
    <definedName name="外部資料_41" localSheetId="8">PKB!#REF!</definedName>
    <definedName name="外部資料_41" localSheetId="9">PKC!#REF!</definedName>
    <definedName name="外部資料_41" localSheetId="13">PSR!#REF!</definedName>
    <definedName name="外部資料_41" localSheetId="2">紅綠燈!#REF!</definedName>
    <definedName name="外部資料_41" localSheetId="3">評比系統!#REF!</definedName>
    <definedName name="外部資料_41" localSheetId="10">福邦!#REF!</definedName>
    <definedName name="外部資料_41" localSheetId="4">篩股系統!#REF!</definedName>
    <definedName name="外部資料_41" localSheetId="11">營收搶先報!#REF!</definedName>
    <definedName name="外部資料_410" localSheetId="7">PKA!#REF!</definedName>
    <definedName name="外部資料_410" localSheetId="8">PKB!#REF!</definedName>
    <definedName name="外部資料_410" localSheetId="9">PKC!#REF!</definedName>
    <definedName name="外部資料_410" localSheetId="2">紅綠燈!#REF!</definedName>
    <definedName name="外部資料_4100" localSheetId="2">紅綠燈!#REF!</definedName>
    <definedName name="外部資料_4101" localSheetId="2">紅綠燈!#REF!</definedName>
    <definedName name="外部資料_4103" localSheetId="2">紅綠燈!#REF!</definedName>
    <definedName name="外部資料_4104" localSheetId="2">紅綠燈!#REF!</definedName>
    <definedName name="外部資料_4105" localSheetId="2">紅綠燈!#REF!</definedName>
    <definedName name="外部資料_4107" localSheetId="2">紅綠燈!#REF!</definedName>
    <definedName name="外部資料_4108" localSheetId="2">紅綠燈!#REF!</definedName>
    <definedName name="外部資料_4109" localSheetId="2">紅綠燈!#REF!</definedName>
    <definedName name="外部資料_411" localSheetId="7">PKA!#REF!</definedName>
    <definedName name="外部資料_411" localSheetId="8">PKB!#REF!</definedName>
    <definedName name="外部資料_411" localSheetId="9">PKC!#REF!</definedName>
    <definedName name="外部資料_411" localSheetId="2">紅綠燈!#REF!</definedName>
    <definedName name="外部資料_4111" localSheetId="2">紅綠燈!#REF!</definedName>
    <definedName name="外部資料_4112" localSheetId="2">紅綠燈!#REF!</definedName>
    <definedName name="外部資料_4114" localSheetId="2">紅綠燈!#REF!</definedName>
    <definedName name="外部資料_4115" localSheetId="2">紅綠燈!#REF!</definedName>
    <definedName name="外部資料_4117" localSheetId="2">紅綠燈!#REF!</definedName>
    <definedName name="外部資料_4118" localSheetId="2">紅綠燈!#REF!</definedName>
    <definedName name="外部資料_4119" localSheetId="2">紅綠燈!#REF!</definedName>
    <definedName name="外部資料_412" localSheetId="7">PKA!#REF!</definedName>
    <definedName name="外部資料_412" localSheetId="8">PKB!#REF!</definedName>
    <definedName name="外部資料_412" localSheetId="9">PKC!#REF!</definedName>
    <definedName name="外部資料_412" localSheetId="2">紅綠燈!#REF!</definedName>
    <definedName name="外部資料_4121" localSheetId="2">紅綠燈!#REF!</definedName>
    <definedName name="外部資料_4122" localSheetId="2">紅綠燈!#REF!</definedName>
    <definedName name="外部資料_4123" localSheetId="2">紅綠燈!#REF!</definedName>
    <definedName name="外部資料_4125" localSheetId="2">紅綠燈!#REF!</definedName>
    <definedName name="外部資料_4126" localSheetId="2">紅綠燈!#REF!</definedName>
    <definedName name="外部資料_4127" localSheetId="2">紅綠燈!#REF!</definedName>
    <definedName name="外部資料_4129" localSheetId="2">紅綠燈!#REF!</definedName>
    <definedName name="外部資料_413" localSheetId="7">PKA!#REF!</definedName>
    <definedName name="外部資料_413" localSheetId="8">PKB!#REF!</definedName>
    <definedName name="外部資料_413" localSheetId="9">PKC!#REF!</definedName>
    <definedName name="外部資料_4130" localSheetId="2">紅綠燈!#REF!</definedName>
    <definedName name="外部資料_4131" localSheetId="2">紅綠燈!#REF!</definedName>
    <definedName name="外部資料_4133" localSheetId="2">紅綠燈!#REF!</definedName>
    <definedName name="外部資料_4134" localSheetId="2">紅綠燈!#REF!</definedName>
    <definedName name="外部資料_4135" localSheetId="2">紅綠燈!#REF!</definedName>
    <definedName name="外部資料_4137" localSheetId="2">紅綠燈!#REF!</definedName>
    <definedName name="外部資料_4138" localSheetId="2">紅綠燈!#REF!</definedName>
    <definedName name="外部資料_4139" localSheetId="2">紅綠燈!#REF!</definedName>
    <definedName name="外部資料_414" localSheetId="7">PKA!#REF!</definedName>
    <definedName name="外部資料_414" localSheetId="8">PKB!#REF!</definedName>
    <definedName name="外部資料_414" localSheetId="9">PKC!#REF!</definedName>
    <definedName name="外部資料_414" localSheetId="2">紅綠燈!#REF!</definedName>
    <definedName name="外部資料_4141" localSheetId="2">紅綠燈!#REF!</definedName>
    <definedName name="外部資料_4142" localSheetId="2">紅綠燈!#REF!</definedName>
    <definedName name="外部資料_4143" localSheetId="2">紅綠燈!#REF!</definedName>
    <definedName name="外部資料_4145" localSheetId="2">紅綠燈!#REF!</definedName>
    <definedName name="外部資料_4146" localSheetId="2">紅綠燈!#REF!</definedName>
    <definedName name="外部資料_4147" localSheetId="2">紅綠燈!#REF!</definedName>
    <definedName name="外部資料_4149" localSheetId="2">紅綠燈!#REF!</definedName>
    <definedName name="外部資料_415" localSheetId="7">PKA!#REF!</definedName>
    <definedName name="外部資料_415" localSheetId="8">PKB!#REF!</definedName>
    <definedName name="外部資料_415" localSheetId="9">PKC!#REF!</definedName>
    <definedName name="外部資料_415" localSheetId="2">紅綠燈!#REF!</definedName>
    <definedName name="外部資料_4150" localSheetId="2">紅綠燈!#REF!</definedName>
    <definedName name="外部資料_4151" localSheetId="2">紅綠燈!#REF!</definedName>
    <definedName name="外部資料_4153" localSheetId="2">紅綠燈!#REF!</definedName>
    <definedName name="外部資料_4154" localSheetId="2">紅綠燈!#REF!</definedName>
    <definedName name="外部資料_4155" localSheetId="2">紅綠燈!#REF!</definedName>
    <definedName name="外部資料_4157" localSheetId="2">紅綠燈!#REF!</definedName>
    <definedName name="外部資料_4158" localSheetId="2">紅綠燈!#REF!</definedName>
    <definedName name="外部資料_4159" localSheetId="2">紅綠燈!#REF!</definedName>
    <definedName name="外部資料_416" localSheetId="7">PKA!#REF!</definedName>
    <definedName name="外部資料_416" localSheetId="8">PKB!#REF!</definedName>
    <definedName name="外部資料_416" localSheetId="9">PKC!#REF!</definedName>
    <definedName name="外部資料_416" localSheetId="2">紅綠燈!#REF!</definedName>
    <definedName name="外部資料_4161" localSheetId="2">紅綠燈!#REF!</definedName>
    <definedName name="外部資料_4162" localSheetId="2">紅綠燈!#REF!</definedName>
    <definedName name="外部資料_4163" localSheetId="2">紅綠燈!#REF!</definedName>
    <definedName name="外部資料_4165" localSheetId="2">紅綠燈!#REF!</definedName>
    <definedName name="外部資料_4166" localSheetId="2">紅綠燈!#REF!</definedName>
    <definedName name="外部資料_4167" localSheetId="2">紅綠燈!#REF!</definedName>
    <definedName name="外部資料_4169" localSheetId="2">紅綠燈!#REF!</definedName>
    <definedName name="外部資料_417" localSheetId="7">PKA!#REF!</definedName>
    <definedName name="外部資料_417" localSheetId="8">PKB!#REF!</definedName>
    <definedName name="外部資料_417" localSheetId="9">PKC!#REF!</definedName>
    <definedName name="外部資料_4170" localSheetId="2">紅綠燈!#REF!</definedName>
    <definedName name="外部資料_4171" localSheetId="2">紅綠燈!#REF!</definedName>
    <definedName name="外部資料_4173" localSheetId="2">紅綠燈!#REF!</definedName>
    <definedName name="外部資料_4174" localSheetId="2">紅綠燈!#REF!</definedName>
    <definedName name="外部資料_4175" localSheetId="2">紅綠燈!#REF!</definedName>
    <definedName name="外部資料_4177" localSheetId="2">紅綠燈!#REF!</definedName>
    <definedName name="外部資料_4178" localSheetId="2">紅綠燈!#REF!</definedName>
    <definedName name="外部資料_4179" localSheetId="2">紅綠燈!#REF!</definedName>
    <definedName name="外部資料_418" localSheetId="7">PKA!#REF!</definedName>
    <definedName name="外部資料_418" localSheetId="8">PKB!#REF!</definedName>
    <definedName name="外部資料_418" localSheetId="9">PKC!#REF!</definedName>
    <definedName name="外部資料_418" localSheetId="2">紅綠燈!#REF!</definedName>
    <definedName name="外部資料_4181" localSheetId="2">紅綠燈!#REF!</definedName>
    <definedName name="外部資料_4182" localSheetId="2">紅綠燈!#REF!</definedName>
    <definedName name="外部資料_4183" localSheetId="2">紅綠燈!#REF!</definedName>
    <definedName name="外部資料_4185" localSheetId="2">紅綠燈!#REF!</definedName>
    <definedName name="外部資料_4186" localSheetId="2">紅綠燈!#REF!</definedName>
    <definedName name="外部資料_4187" localSheetId="2">紅綠燈!#REF!</definedName>
    <definedName name="外部資料_4189" localSheetId="2">紅綠燈!#REF!</definedName>
    <definedName name="外部資料_419" localSheetId="7">PKA!#REF!</definedName>
    <definedName name="外部資料_419" localSheetId="8">PKB!#REF!</definedName>
    <definedName name="外部資料_419" localSheetId="9">PKC!#REF!</definedName>
    <definedName name="外部資料_419" localSheetId="2">紅綠燈!#REF!</definedName>
    <definedName name="外部資料_4190" localSheetId="2">紅綠燈!#REF!</definedName>
    <definedName name="外部資料_4191" localSheetId="2">紅綠燈!#REF!</definedName>
    <definedName name="外部資料_4193" localSheetId="2">紅綠燈!#REF!</definedName>
    <definedName name="外部資料_4194" localSheetId="2">紅綠燈!#REF!</definedName>
    <definedName name="外部資料_4195" localSheetId="2">紅綠燈!#REF!</definedName>
    <definedName name="外部資料_4197" localSheetId="2">紅綠燈!#REF!</definedName>
    <definedName name="外部資料_4198" localSheetId="2">紅綠燈!#REF!</definedName>
    <definedName name="外部資料_4199" localSheetId="2">紅綠燈!#REF!</definedName>
    <definedName name="外部資料_42" localSheetId="7">PKA!#REF!</definedName>
    <definedName name="外部資料_42" localSheetId="8">PKB!#REF!</definedName>
    <definedName name="外部資料_42" localSheetId="9">PKC!#REF!</definedName>
    <definedName name="外部資料_42" localSheetId="13">PSR!#REF!</definedName>
    <definedName name="外部資料_42" localSheetId="2">紅綠燈!#REF!</definedName>
    <definedName name="外部資料_42" localSheetId="3">評比系統!#REF!</definedName>
    <definedName name="外部資料_42" localSheetId="10">福邦!#REF!</definedName>
    <definedName name="外部資料_42" localSheetId="4">篩股系統!#REF!</definedName>
    <definedName name="外部資料_42" localSheetId="11">營收搶先報!#REF!</definedName>
    <definedName name="外部資料_420" localSheetId="7">PKA!#REF!</definedName>
    <definedName name="外部資料_420" localSheetId="8">PKB!#REF!</definedName>
    <definedName name="外部資料_420" localSheetId="9">PKC!#REF!</definedName>
    <definedName name="外部資料_420" localSheetId="2">紅綠燈!#REF!</definedName>
    <definedName name="外部資料_4201" localSheetId="2">紅綠燈!#REF!</definedName>
    <definedName name="外部資料_4202" localSheetId="2">紅綠燈!#REF!</definedName>
    <definedName name="外部資料_4203" localSheetId="2">紅綠燈!#REF!</definedName>
    <definedName name="外部資料_4205" localSheetId="2">紅綠燈!#REF!</definedName>
    <definedName name="外部資料_4206" localSheetId="2">紅綠燈!#REF!</definedName>
    <definedName name="外部資料_4207" localSheetId="2">紅綠燈!#REF!</definedName>
    <definedName name="外部資料_4209" localSheetId="2">紅綠燈!#REF!</definedName>
    <definedName name="外部資料_421" localSheetId="7">PKA!#REF!</definedName>
    <definedName name="外部資料_421" localSheetId="8">PKB!#REF!</definedName>
    <definedName name="外部資料_421" localSheetId="9">PKC!#REF!</definedName>
    <definedName name="外部資料_4210" localSheetId="2">紅綠燈!#REF!</definedName>
    <definedName name="外部資料_4211" localSheetId="2">紅綠燈!#REF!</definedName>
    <definedName name="外部資料_4213" localSheetId="2">紅綠燈!#REF!</definedName>
    <definedName name="外部資料_4214" localSheetId="2">紅綠燈!#REF!</definedName>
    <definedName name="外部資料_4215" localSheetId="2">紅綠燈!#REF!</definedName>
    <definedName name="外部資料_4217" localSheetId="2">紅綠燈!#REF!</definedName>
    <definedName name="外部資料_4218" localSheetId="2">紅綠燈!#REF!</definedName>
    <definedName name="外部資料_4219" localSheetId="2">紅綠燈!#REF!</definedName>
    <definedName name="外部資料_422" localSheetId="7">PKA!#REF!</definedName>
    <definedName name="外部資料_422" localSheetId="8">PKB!#REF!</definedName>
    <definedName name="外部資料_422" localSheetId="9">PKC!#REF!</definedName>
    <definedName name="外部資料_422" localSheetId="2">紅綠燈!#REF!</definedName>
    <definedName name="外部資料_4221" localSheetId="2">紅綠燈!#REF!</definedName>
    <definedName name="外部資料_4222" localSheetId="2">紅綠燈!#REF!</definedName>
    <definedName name="外部資料_4223" localSheetId="2">紅綠燈!#REF!</definedName>
    <definedName name="外部資料_4225" localSheetId="2">紅綠燈!#REF!</definedName>
    <definedName name="外部資料_4226" localSheetId="2">紅綠燈!#REF!</definedName>
    <definedName name="外部資料_4227" localSheetId="2">紅綠燈!#REF!</definedName>
    <definedName name="外部資料_4229" localSheetId="2">紅綠燈!#REF!</definedName>
    <definedName name="外部資料_423" localSheetId="7">PKA!#REF!</definedName>
    <definedName name="外部資料_423" localSheetId="8">PKB!#REF!</definedName>
    <definedName name="外部資料_423" localSheetId="9">PKC!#REF!</definedName>
    <definedName name="外部資料_423" localSheetId="2">紅綠燈!#REF!</definedName>
    <definedName name="外部資料_4230" localSheetId="2">紅綠燈!#REF!</definedName>
    <definedName name="外部資料_4231" localSheetId="2">紅綠燈!#REF!</definedName>
    <definedName name="外部資料_4233" localSheetId="2">紅綠燈!#REF!</definedName>
    <definedName name="外部資料_4234" localSheetId="2">紅綠燈!#REF!</definedName>
    <definedName name="外部資料_4235" localSheetId="2">紅綠燈!#REF!</definedName>
    <definedName name="外部資料_4237" localSheetId="2">紅綠燈!#REF!</definedName>
    <definedName name="外部資料_4238" localSheetId="2">紅綠燈!#REF!</definedName>
    <definedName name="外部資料_4239" localSheetId="2">紅綠燈!#REF!</definedName>
    <definedName name="外部資料_424" localSheetId="7">PKA!#REF!</definedName>
    <definedName name="外部資料_424" localSheetId="8">PKB!#REF!</definedName>
    <definedName name="外部資料_424" localSheetId="9">PKC!#REF!</definedName>
    <definedName name="外部資料_424" localSheetId="2">紅綠燈!#REF!</definedName>
    <definedName name="外部資料_4241" localSheetId="2">紅綠燈!#REF!</definedName>
    <definedName name="外部資料_4242" localSheetId="2">紅綠燈!#REF!</definedName>
    <definedName name="外部資料_4243" localSheetId="2">紅綠燈!#REF!</definedName>
    <definedName name="外部資料_4245" localSheetId="2">紅綠燈!#REF!</definedName>
    <definedName name="外部資料_4246" localSheetId="2">紅綠燈!#REF!</definedName>
    <definedName name="外部資料_4247" localSheetId="2">紅綠燈!#REF!</definedName>
    <definedName name="外部資料_4249" localSheetId="2">紅綠燈!#REF!</definedName>
    <definedName name="外部資料_425" localSheetId="7">PKA!#REF!</definedName>
    <definedName name="外部資料_425" localSheetId="8">PKB!#REF!</definedName>
    <definedName name="外部資料_425" localSheetId="9">PKC!#REF!</definedName>
    <definedName name="外部資料_4250" localSheetId="2">紅綠燈!#REF!</definedName>
    <definedName name="外部資料_4251" localSheetId="2">紅綠燈!#REF!</definedName>
    <definedName name="外部資料_4253" localSheetId="2">紅綠燈!#REF!</definedName>
    <definedName name="外部資料_4254" localSheetId="2">紅綠燈!#REF!</definedName>
    <definedName name="外部資料_4255" localSheetId="2">紅綠燈!#REF!</definedName>
    <definedName name="外部資料_4257" localSheetId="2">紅綠燈!#REF!</definedName>
    <definedName name="外部資料_4258" localSheetId="2">紅綠燈!#REF!</definedName>
    <definedName name="外部資料_4259" localSheetId="2">紅綠燈!#REF!</definedName>
    <definedName name="外部資料_426" localSheetId="7">PKA!#REF!</definedName>
    <definedName name="外部資料_426" localSheetId="8">PKB!#REF!</definedName>
    <definedName name="外部資料_426" localSheetId="9">PKC!#REF!</definedName>
    <definedName name="外部資料_426" localSheetId="2">紅綠燈!#REF!</definedName>
    <definedName name="外部資料_4261" localSheetId="2">紅綠燈!#REF!</definedName>
    <definedName name="外部資料_4262" localSheetId="2">紅綠燈!#REF!</definedName>
    <definedName name="外部資料_4263" localSheetId="2">紅綠燈!#REF!</definedName>
    <definedName name="外部資料_4265" localSheetId="2">紅綠燈!#REF!</definedName>
    <definedName name="外部資料_4266" localSheetId="2">紅綠燈!#REF!</definedName>
    <definedName name="外部資料_4267" localSheetId="2">紅綠燈!#REF!</definedName>
    <definedName name="外部資料_4269" localSheetId="2">紅綠燈!#REF!</definedName>
    <definedName name="外部資料_427" localSheetId="7">PKA!#REF!</definedName>
    <definedName name="外部資料_427" localSheetId="8">PKB!#REF!</definedName>
    <definedName name="外部資料_427" localSheetId="9">PKC!#REF!</definedName>
    <definedName name="外部資料_427" localSheetId="2">紅綠燈!#REF!</definedName>
    <definedName name="外部資料_4270" localSheetId="2">紅綠燈!#REF!</definedName>
    <definedName name="外部資料_4271" localSheetId="2">紅綠燈!#REF!</definedName>
    <definedName name="外部資料_4273" localSheetId="2">紅綠燈!#REF!</definedName>
    <definedName name="外部資料_4274" localSheetId="2">紅綠燈!#REF!</definedName>
    <definedName name="外部資料_4275" localSheetId="2">紅綠燈!#REF!</definedName>
    <definedName name="外部資料_4277" localSheetId="2">紅綠燈!#REF!</definedName>
    <definedName name="外部資料_4278" localSheetId="2">紅綠燈!#REF!</definedName>
    <definedName name="外部資料_4279" localSheetId="2">紅綠燈!#REF!</definedName>
    <definedName name="外部資料_428" localSheetId="7">PKA!#REF!</definedName>
    <definedName name="外部資料_428" localSheetId="8">PKB!#REF!</definedName>
    <definedName name="外部資料_428" localSheetId="9">PKC!#REF!</definedName>
    <definedName name="外部資料_428" localSheetId="2">紅綠燈!#REF!</definedName>
    <definedName name="外部資料_4281" localSheetId="2">紅綠燈!#REF!</definedName>
    <definedName name="外部資料_4282" localSheetId="2">紅綠燈!#REF!</definedName>
    <definedName name="外部資料_4283" localSheetId="2">紅綠燈!#REF!</definedName>
    <definedName name="外部資料_4285" localSheetId="2">紅綠燈!#REF!</definedName>
    <definedName name="外部資料_4286" localSheetId="2">紅綠燈!#REF!</definedName>
    <definedName name="外部資料_4287" localSheetId="2">紅綠燈!#REF!</definedName>
    <definedName name="外部資料_4289" localSheetId="2">紅綠燈!#REF!</definedName>
    <definedName name="外部資料_429" localSheetId="7">PKA!#REF!</definedName>
    <definedName name="外部資料_429" localSheetId="8">PKB!#REF!</definedName>
    <definedName name="外部資料_429" localSheetId="9">PKC!#REF!</definedName>
    <definedName name="外部資料_4290" localSheetId="2">紅綠燈!#REF!</definedName>
    <definedName name="外部資料_4291" localSheetId="2">紅綠燈!#REF!</definedName>
    <definedName name="外部資料_4293" localSheetId="2">紅綠燈!#REF!</definedName>
    <definedName name="外部資料_4294" localSheetId="2">紅綠燈!#REF!</definedName>
    <definedName name="外部資料_4296" localSheetId="2">紅綠燈!#REF!</definedName>
    <definedName name="外部資料_4297" localSheetId="2">紅綠燈!#REF!</definedName>
    <definedName name="外部資料_4298" localSheetId="2">紅綠燈!#REF!</definedName>
    <definedName name="外部資料_43" localSheetId="7">PKA!#REF!</definedName>
    <definedName name="外部資料_43" localSheetId="8">PKB!#REF!</definedName>
    <definedName name="外部資料_43" localSheetId="9">PKC!#REF!</definedName>
    <definedName name="外部資料_43" localSheetId="13">PSR!#REF!</definedName>
    <definedName name="外部資料_43" localSheetId="3">評比系統!#REF!</definedName>
    <definedName name="外部資料_43" localSheetId="10">福邦!#REF!</definedName>
    <definedName name="外部資料_43" localSheetId="11">營收搶先報!#REF!</definedName>
    <definedName name="外部資料_430" localSheetId="7">PKA!#REF!</definedName>
    <definedName name="外部資料_430" localSheetId="8">PKB!#REF!</definedName>
    <definedName name="外部資料_430" localSheetId="9">PKC!#REF!</definedName>
    <definedName name="外部資料_430" localSheetId="2">紅綠燈!#REF!</definedName>
    <definedName name="外部資料_4300" localSheetId="2">紅綠燈!#REF!</definedName>
    <definedName name="外部資料_4301" localSheetId="2">紅綠燈!#REF!</definedName>
    <definedName name="外部資料_4302" localSheetId="2">紅綠燈!#REF!</definedName>
    <definedName name="外部資料_4304" localSheetId="2">紅綠燈!#REF!</definedName>
    <definedName name="外部資料_4305" localSheetId="2">紅綠燈!#REF!</definedName>
    <definedName name="外部資料_4306" localSheetId="2">紅綠燈!#REF!</definedName>
    <definedName name="外部資料_4308" localSheetId="2">紅綠燈!#REF!</definedName>
    <definedName name="外部資料_4309" localSheetId="2">紅綠燈!#REF!</definedName>
    <definedName name="外部資料_431" localSheetId="7">PKA!#REF!</definedName>
    <definedName name="外部資料_431" localSheetId="8">PKB!#REF!</definedName>
    <definedName name="外部資料_431" localSheetId="9">PKC!#REF!</definedName>
    <definedName name="外部資料_431" localSheetId="2">紅綠燈!#REF!</definedName>
    <definedName name="外部資料_4310" localSheetId="2">紅綠燈!#REF!</definedName>
    <definedName name="外部資料_4312" localSheetId="2">紅綠燈!#REF!</definedName>
    <definedName name="外部資料_4313" localSheetId="2">紅綠燈!#REF!</definedName>
    <definedName name="外部資料_4314" localSheetId="2">紅綠燈!#REF!</definedName>
    <definedName name="外部資料_4316" localSheetId="2">紅綠燈!#REF!</definedName>
    <definedName name="外部資料_4317" localSheetId="2">紅綠燈!#REF!</definedName>
    <definedName name="外部資料_4318" localSheetId="2">紅綠燈!#REF!</definedName>
    <definedName name="外部資料_432" localSheetId="7">PKA!#REF!</definedName>
    <definedName name="外部資料_432" localSheetId="8">PKB!#REF!</definedName>
    <definedName name="外部資料_432" localSheetId="9">PKC!#REF!</definedName>
    <definedName name="外部資料_432" localSheetId="2">紅綠燈!#REF!</definedName>
    <definedName name="外部資料_4320" localSheetId="2">紅綠燈!#REF!</definedName>
    <definedName name="外部資料_4321" localSheetId="2">紅綠燈!#REF!</definedName>
    <definedName name="外部資料_4322" localSheetId="2">紅綠燈!#REF!</definedName>
    <definedName name="外部資料_4324" localSheetId="2">紅綠燈!#REF!</definedName>
    <definedName name="外部資料_4325" localSheetId="2">紅綠燈!#REF!</definedName>
    <definedName name="外部資料_4326" localSheetId="2">紅綠燈!#REF!</definedName>
    <definedName name="外部資料_4328" localSheetId="2">紅綠燈!#REF!</definedName>
    <definedName name="外部資料_4329" localSheetId="2">紅綠燈!#REF!</definedName>
    <definedName name="外部資料_433" localSheetId="7">PKA!#REF!</definedName>
    <definedName name="外部資料_433" localSheetId="8">PKB!#REF!</definedName>
    <definedName name="外部資料_433" localSheetId="9">PKC!#REF!</definedName>
    <definedName name="外部資料_4330" localSheetId="2">紅綠燈!#REF!</definedName>
    <definedName name="外部資料_4332" localSheetId="2">紅綠燈!#REF!</definedName>
    <definedName name="外部資料_4333" localSheetId="2">紅綠燈!#REF!</definedName>
    <definedName name="外部資料_4334" localSheetId="2">紅綠燈!#REF!</definedName>
    <definedName name="外部資料_4336" localSheetId="2">紅綠燈!#REF!</definedName>
    <definedName name="外部資料_4337" localSheetId="2">紅綠燈!#REF!</definedName>
    <definedName name="外部資料_4338" localSheetId="2">紅綠燈!#REF!</definedName>
    <definedName name="外部資料_434" localSheetId="7">PKA!#REF!</definedName>
    <definedName name="外部資料_434" localSheetId="8">PKB!#REF!</definedName>
    <definedName name="外部資料_434" localSheetId="9">PKC!#REF!</definedName>
    <definedName name="外部資料_434" localSheetId="2">紅綠燈!#REF!</definedName>
    <definedName name="外部資料_4340" localSheetId="2">紅綠燈!#REF!</definedName>
    <definedName name="外部資料_4341" localSheetId="2">紅綠燈!#REF!</definedName>
    <definedName name="外部資料_4342" localSheetId="2">紅綠燈!#REF!</definedName>
    <definedName name="外部資料_4344" localSheetId="2">紅綠燈!#REF!</definedName>
    <definedName name="外部資料_4345" localSheetId="2">紅綠燈!#REF!</definedName>
    <definedName name="外部資料_4346" localSheetId="2">紅綠燈!#REF!</definedName>
    <definedName name="外部資料_4348" localSheetId="2">紅綠燈!#REF!</definedName>
    <definedName name="外部資料_4349" localSheetId="2">紅綠燈!#REF!</definedName>
    <definedName name="外部資料_435" localSheetId="7">PKA!#REF!</definedName>
    <definedName name="外部資料_435" localSheetId="8">PKB!#REF!</definedName>
    <definedName name="外部資料_435" localSheetId="9">PKC!#REF!</definedName>
    <definedName name="外部資料_435" localSheetId="2">紅綠燈!#REF!</definedName>
    <definedName name="外部資料_4350" localSheetId="2">紅綠燈!#REF!</definedName>
    <definedName name="外部資料_4352" localSheetId="2">紅綠燈!#REF!</definedName>
    <definedName name="外部資料_4353" localSheetId="2">紅綠燈!#REF!</definedName>
    <definedName name="外部資料_4354" localSheetId="2">紅綠燈!#REF!</definedName>
    <definedName name="外部資料_4356" localSheetId="2">紅綠燈!#REF!</definedName>
    <definedName name="外部資料_4357" localSheetId="2">紅綠燈!#REF!</definedName>
    <definedName name="外部資料_4358" localSheetId="2">紅綠燈!#REF!</definedName>
    <definedName name="外部資料_436" localSheetId="7">PKA!#REF!</definedName>
    <definedName name="外部資料_436" localSheetId="8">PKB!#REF!</definedName>
    <definedName name="外部資料_436" localSheetId="9">PKC!#REF!</definedName>
    <definedName name="外部資料_436" localSheetId="2">紅綠燈!#REF!</definedName>
    <definedName name="外部資料_4360" localSheetId="2">紅綠燈!#REF!</definedName>
    <definedName name="外部資料_4361" localSheetId="2">紅綠燈!#REF!</definedName>
    <definedName name="外部資料_4362" localSheetId="2">紅綠燈!#REF!</definedName>
    <definedName name="外部資料_4364" localSheetId="2">紅綠燈!#REF!</definedName>
    <definedName name="外部資料_4365" localSheetId="2">紅綠燈!#REF!</definedName>
    <definedName name="外部資料_4366" localSheetId="2">紅綠燈!#REF!</definedName>
    <definedName name="外部資料_4368" localSheetId="2">紅綠燈!#REF!</definedName>
    <definedName name="外部資料_4369" localSheetId="2">紅綠燈!#REF!</definedName>
    <definedName name="外部資料_437" localSheetId="7">PKA!#REF!</definedName>
    <definedName name="外部資料_437" localSheetId="8">PKB!#REF!</definedName>
    <definedName name="外部資料_437" localSheetId="9">PKC!#REF!</definedName>
    <definedName name="外部資料_4370" localSheetId="2">紅綠燈!#REF!</definedName>
    <definedName name="外部資料_4372" localSheetId="2">紅綠燈!#REF!</definedName>
    <definedName name="外部資料_4373" localSheetId="2">紅綠燈!#REF!</definedName>
    <definedName name="外部資料_4374" localSheetId="2">紅綠燈!#REF!</definedName>
    <definedName name="外部資料_4376" localSheetId="2">紅綠燈!#REF!</definedName>
    <definedName name="外部資料_4377" localSheetId="2">紅綠燈!#REF!</definedName>
    <definedName name="外部資料_4378" localSheetId="2">紅綠燈!#REF!</definedName>
    <definedName name="外部資料_438" localSheetId="7">PKA!#REF!</definedName>
    <definedName name="外部資料_438" localSheetId="8">PKB!#REF!</definedName>
    <definedName name="外部資料_438" localSheetId="9">PKC!#REF!</definedName>
    <definedName name="外部資料_438" localSheetId="2">紅綠燈!#REF!</definedName>
    <definedName name="外部資料_4380" localSheetId="2">紅綠燈!#REF!</definedName>
    <definedName name="外部資料_4381" localSheetId="2">紅綠燈!#REF!</definedName>
    <definedName name="外部資料_4382" localSheetId="2">紅綠燈!#REF!</definedName>
    <definedName name="外部資料_4384" localSheetId="2">紅綠燈!#REF!</definedName>
    <definedName name="外部資料_4385" localSheetId="2">紅綠燈!#REF!</definedName>
    <definedName name="外部資料_4386" localSheetId="2">紅綠燈!#REF!</definedName>
    <definedName name="外部資料_4388" localSheetId="2">紅綠燈!#REF!</definedName>
    <definedName name="外部資料_4389" localSheetId="2">紅綠燈!#REF!</definedName>
    <definedName name="外部資料_439" localSheetId="7">PKA!#REF!</definedName>
    <definedName name="外部資料_439" localSheetId="8">PKB!#REF!</definedName>
    <definedName name="外部資料_439" localSheetId="9">PKC!#REF!</definedName>
    <definedName name="外部資料_439" localSheetId="2">紅綠燈!#REF!</definedName>
    <definedName name="外部資料_4390" localSheetId="2">紅綠燈!#REF!</definedName>
    <definedName name="外部資料_4392" localSheetId="2">紅綠燈!#REF!</definedName>
    <definedName name="外部資料_4393" localSheetId="2">紅綠燈!#REF!</definedName>
    <definedName name="外部資料_4394" localSheetId="2">紅綠燈!#REF!</definedName>
    <definedName name="外部資料_4396" localSheetId="2">紅綠燈!#REF!</definedName>
    <definedName name="外部資料_4397" localSheetId="2">紅綠燈!#REF!</definedName>
    <definedName name="外部資料_4398" localSheetId="2">紅綠燈!#REF!</definedName>
    <definedName name="外部資料_44" localSheetId="7">PKA!#REF!</definedName>
    <definedName name="外部資料_44" localSheetId="8">PKB!#REF!</definedName>
    <definedName name="外部資料_44" localSheetId="9">PKC!#REF!</definedName>
    <definedName name="外部資料_44" localSheetId="13">PSR!#REF!</definedName>
    <definedName name="外部資料_44" localSheetId="3">評比系統!#REF!</definedName>
    <definedName name="外部資料_44" localSheetId="10">福邦!#REF!</definedName>
    <definedName name="外部資料_44" localSheetId="11">營收搶先報!#REF!</definedName>
    <definedName name="外部資料_440" localSheetId="7">PKA!#REF!</definedName>
    <definedName name="外部資料_440" localSheetId="8">PKB!#REF!</definedName>
    <definedName name="外部資料_440" localSheetId="9">PKC!#REF!</definedName>
    <definedName name="外部資料_440" localSheetId="2">紅綠燈!#REF!</definedName>
    <definedName name="外部資料_4400" localSheetId="2">紅綠燈!#REF!</definedName>
    <definedName name="外部資料_4401" localSheetId="2">紅綠燈!#REF!</definedName>
    <definedName name="外部資料_4402" localSheetId="2">紅綠燈!#REF!</definedName>
    <definedName name="外部資料_4404" localSheetId="2">紅綠燈!#REF!</definedName>
    <definedName name="外部資料_4405" localSheetId="2">紅綠燈!#REF!</definedName>
    <definedName name="外部資料_4406" localSheetId="2">紅綠燈!#REF!</definedName>
    <definedName name="外部資料_4408" localSheetId="2">紅綠燈!#REF!</definedName>
    <definedName name="外部資料_4409" localSheetId="2">紅綠燈!#REF!</definedName>
    <definedName name="外部資料_441" localSheetId="7">PKA!#REF!</definedName>
    <definedName name="外部資料_441" localSheetId="8">PKB!#REF!</definedName>
    <definedName name="外部資料_441" localSheetId="9">PKC!#REF!</definedName>
    <definedName name="外部資料_4410" localSheetId="2">紅綠燈!#REF!</definedName>
    <definedName name="外部資料_4412" localSheetId="2">紅綠燈!#REF!</definedName>
    <definedName name="外部資料_4413" localSheetId="2">紅綠燈!#REF!</definedName>
    <definedName name="外部資料_4414" localSheetId="2">紅綠燈!#REF!</definedName>
    <definedName name="外部資料_4416" localSheetId="2">紅綠燈!#REF!</definedName>
    <definedName name="外部資料_4417" localSheetId="2">紅綠燈!#REF!</definedName>
    <definedName name="外部資料_4418" localSheetId="2">紅綠燈!#REF!</definedName>
    <definedName name="外部資料_442" localSheetId="7">PKA!#REF!</definedName>
    <definedName name="外部資料_442" localSheetId="8">PKB!#REF!</definedName>
    <definedName name="外部資料_442" localSheetId="9">PKC!#REF!</definedName>
    <definedName name="外部資料_442" localSheetId="2">紅綠燈!#REF!</definedName>
    <definedName name="外部資料_4420" localSheetId="2">紅綠燈!#REF!</definedName>
    <definedName name="外部資料_4421" localSheetId="2">紅綠燈!#REF!</definedName>
    <definedName name="外部資料_4422" localSheetId="2">紅綠燈!#REF!</definedName>
    <definedName name="外部資料_4424" localSheetId="2">紅綠燈!#REF!</definedName>
    <definedName name="外部資料_4425" localSheetId="2">紅綠燈!#REF!</definedName>
    <definedName name="外部資料_4426" localSheetId="2">紅綠燈!#REF!</definedName>
    <definedName name="外部資料_4428" localSheetId="2">紅綠燈!#REF!</definedName>
    <definedName name="外部資料_4429" localSheetId="2">紅綠燈!#REF!</definedName>
    <definedName name="外部資料_443" localSheetId="7">PKA!#REF!</definedName>
    <definedName name="外部資料_443" localSheetId="8">PKB!#REF!</definedName>
    <definedName name="外部資料_443" localSheetId="9">PKC!#REF!</definedName>
    <definedName name="外部資料_443" localSheetId="2">紅綠燈!#REF!</definedName>
    <definedName name="外部資料_4430" localSheetId="2">紅綠燈!#REF!</definedName>
    <definedName name="外部資料_4432" localSheetId="2">紅綠燈!#REF!</definedName>
    <definedName name="外部資料_4433" localSheetId="2">紅綠燈!#REF!</definedName>
    <definedName name="外部資料_4435" localSheetId="2">紅綠燈!#REF!</definedName>
    <definedName name="外部資料_4436" localSheetId="2">紅綠燈!#REF!</definedName>
    <definedName name="外部資料_4437" localSheetId="2">紅綠燈!#REF!</definedName>
    <definedName name="外部資料_4439" localSheetId="2">紅綠燈!#REF!</definedName>
    <definedName name="外部資料_444" localSheetId="7">PKA!#REF!</definedName>
    <definedName name="外部資料_444" localSheetId="8">PKB!#REF!</definedName>
    <definedName name="外部資料_444" localSheetId="9">PKC!#REF!</definedName>
    <definedName name="外部資料_444" localSheetId="2">紅綠燈!#REF!</definedName>
    <definedName name="外部資料_4440" localSheetId="2">紅綠燈!#REF!</definedName>
    <definedName name="外部資料_4441" localSheetId="2">紅綠燈!#REF!</definedName>
    <definedName name="外部資料_4443" localSheetId="2">紅綠燈!#REF!</definedName>
    <definedName name="外部資料_4444" localSheetId="2">紅綠燈!#REF!</definedName>
    <definedName name="外部資料_4445" localSheetId="2">紅綠燈!#REF!</definedName>
    <definedName name="外部資料_4447" localSheetId="2">紅綠燈!#REF!</definedName>
    <definedName name="外部資料_4448" localSheetId="2">紅綠燈!#REF!</definedName>
    <definedName name="外部資料_4449" localSheetId="2">紅綠燈!#REF!</definedName>
    <definedName name="外部資料_445" localSheetId="7">PKA!#REF!</definedName>
    <definedName name="外部資料_445" localSheetId="8">PKB!#REF!</definedName>
    <definedName name="外部資料_445" localSheetId="9">PKC!#REF!</definedName>
    <definedName name="外部資料_4451" localSheetId="2">紅綠燈!#REF!</definedName>
    <definedName name="外部資料_4452" localSheetId="2">紅綠燈!#REF!</definedName>
    <definedName name="外部資料_4453" localSheetId="2">紅綠燈!#REF!</definedName>
    <definedName name="外部資料_4455" localSheetId="2">紅綠燈!#REF!</definedName>
    <definedName name="外部資料_4456" localSheetId="2">紅綠燈!#REF!</definedName>
    <definedName name="外部資料_4457" localSheetId="2">紅綠燈!#REF!</definedName>
    <definedName name="外部資料_4459" localSheetId="2">紅綠燈!#REF!</definedName>
    <definedName name="外部資料_446" localSheetId="7">PKA!#REF!</definedName>
    <definedName name="外部資料_446" localSheetId="8">PKB!#REF!</definedName>
    <definedName name="外部資料_446" localSheetId="9">PKC!#REF!</definedName>
    <definedName name="外部資料_446" localSheetId="2">紅綠燈!#REF!</definedName>
    <definedName name="外部資料_4460" localSheetId="2">紅綠燈!#REF!</definedName>
    <definedName name="外部資料_4461" localSheetId="2">紅綠燈!#REF!</definedName>
    <definedName name="外部資料_4463" localSheetId="2">紅綠燈!#REF!</definedName>
    <definedName name="外部資料_4464" localSheetId="2">紅綠燈!#REF!</definedName>
    <definedName name="外部資料_4465" localSheetId="2">紅綠燈!#REF!</definedName>
    <definedName name="外部資料_4467" localSheetId="2">紅綠燈!#REF!</definedName>
    <definedName name="外部資料_4468" localSheetId="2">紅綠燈!#REF!</definedName>
    <definedName name="外部資料_4469" localSheetId="2">紅綠燈!#REF!</definedName>
    <definedName name="外部資料_447" localSheetId="7">PKA!#REF!</definedName>
    <definedName name="外部資料_447" localSheetId="8">PKB!#REF!</definedName>
    <definedName name="外部資料_447" localSheetId="9">PKC!#REF!</definedName>
    <definedName name="外部資料_447" localSheetId="2">紅綠燈!#REF!</definedName>
    <definedName name="外部資料_4471" localSheetId="2">紅綠燈!#REF!</definedName>
    <definedName name="外部資料_4472" localSheetId="2">紅綠燈!#REF!</definedName>
    <definedName name="外部資料_4473" localSheetId="2">紅綠燈!#REF!</definedName>
    <definedName name="外部資料_4475" localSheetId="2">紅綠燈!#REF!</definedName>
    <definedName name="外部資料_4476" localSheetId="2">紅綠燈!#REF!</definedName>
    <definedName name="外部資料_4478" localSheetId="2">紅綠燈!#REF!</definedName>
    <definedName name="外部資料_4479" localSheetId="2">紅綠燈!#REF!</definedName>
    <definedName name="外部資料_448" localSheetId="7">PKA!#REF!</definedName>
    <definedName name="外部資料_448" localSheetId="8">PKB!#REF!</definedName>
    <definedName name="外部資料_448" localSheetId="9">PKC!#REF!</definedName>
    <definedName name="外部資料_448" localSheetId="2">紅綠燈!#REF!</definedName>
    <definedName name="外部資料_4480" localSheetId="2">紅綠燈!#REF!</definedName>
    <definedName name="外部資料_4482" localSheetId="2">紅綠燈!#REF!</definedName>
    <definedName name="外部資料_4483" localSheetId="2">紅綠燈!#REF!</definedName>
    <definedName name="外部資料_4484" localSheetId="2">紅綠燈!#REF!</definedName>
    <definedName name="外部資料_4486" localSheetId="2">紅綠燈!#REF!</definedName>
    <definedName name="外部資料_4487" localSheetId="2">紅綠燈!#REF!</definedName>
    <definedName name="外部資料_4488" localSheetId="2">紅綠燈!#REF!</definedName>
    <definedName name="外部資料_449" localSheetId="7">PKA!#REF!</definedName>
    <definedName name="外部資料_449" localSheetId="8">PKB!#REF!</definedName>
    <definedName name="外部資料_449" localSheetId="9">PKC!#REF!</definedName>
    <definedName name="外部資料_4490" localSheetId="2">紅綠燈!#REF!</definedName>
    <definedName name="外部資料_4491" localSheetId="2">紅綠燈!#REF!</definedName>
    <definedName name="外部資料_4492" localSheetId="2">紅綠燈!#REF!</definedName>
    <definedName name="外部資料_4494" localSheetId="2">紅綠燈!#REF!</definedName>
    <definedName name="外部資料_4495" localSheetId="2">紅綠燈!#REF!</definedName>
    <definedName name="外部資料_4496" localSheetId="2">紅綠燈!#REF!</definedName>
    <definedName name="外部資料_4498" localSheetId="2">紅綠燈!#REF!</definedName>
    <definedName name="外部資料_4499" localSheetId="2">紅綠燈!#REF!</definedName>
    <definedName name="外部資料_45" localSheetId="7">PKA!#REF!</definedName>
    <definedName name="外部資料_45" localSheetId="8">PKB!#REF!</definedName>
    <definedName name="外部資料_45" localSheetId="9">PKC!#REF!</definedName>
    <definedName name="外部資料_45" localSheetId="13">PSR!#REF!</definedName>
    <definedName name="外部資料_45" localSheetId="3">評比系統!#REF!</definedName>
    <definedName name="外部資料_45" localSheetId="10">福邦!#REF!</definedName>
    <definedName name="外部資料_45" localSheetId="11">營收搶先報!#REF!</definedName>
    <definedName name="外部資料_450" localSheetId="7">PKA!#REF!</definedName>
    <definedName name="外部資料_450" localSheetId="8">PKB!#REF!</definedName>
    <definedName name="外部資料_450" localSheetId="9">PKC!#REF!</definedName>
    <definedName name="外部資料_450" localSheetId="2">紅綠燈!#REF!</definedName>
    <definedName name="外部資料_4500" localSheetId="2">紅綠燈!#REF!</definedName>
    <definedName name="外部資料_4502" localSheetId="2">紅綠燈!#REF!</definedName>
    <definedName name="外部資料_4503" localSheetId="2">紅綠燈!#REF!</definedName>
    <definedName name="外部資料_4504" localSheetId="2">紅綠燈!#REF!</definedName>
    <definedName name="外部資料_4506" localSheetId="2">紅綠燈!#REF!</definedName>
    <definedName name="外部資料_4507" localSheetId="2">紅綠燈!#REF!</definedName>
    <definedName name="外部資料_4508" localSheetId="2">紅綠燈!#REF!</definedName>
    <definedName name="外部資料_451" localSheetId="7">PKA!#REF!</definedName>
    <definedName name="外部資料_451" localSheetId="8">PKB!#REF!</definedName>
    <definedName name="外部資料_451" localSheetId="9">PKC!#REF!</definedName>
    <definedName name="外部資料_451" localSheetId="2">紅綠燈!#REF!</definedName>
    <definedName name="外部資料_4510" localSheetId="2">紅綠燈!#REF!</definedName>
    <definedName name="外部資料_4511" localSheetId="2">紅綠燈!#REF!</definedName>
    <definedName name="外部資料_4512" localSheetId="2">紅綠燈!#REF!</definedName>
    <definedName name="外部資料_4514" localSheetId="2">紅綠燈!#REF!</definedName>
    <definedName name="外部資料_4515" localSheetId="2">紅綠燈!#REF!</definedName>
    <definedName name="外部資料_4517" localSheetId="2">紅綠燈!#REF!</definedName>
    <definedName name="外部資料_4518" localSheetId="2">紅綠燈!#REF!</definedName>
    <definedName name="外部資料_4519" localSheetId="2">紅綠燈!#REF!</definedName>
    <definedName name="外部資料_452" localSheetId="7">PKA!#REF!</definedName>
    <definedName name="外部資料_452" localSheetId="8">PKB!#REF!</definedName>
    <definedName name="外部資料_452" localSheetId="9">PKC!#REF!</definedName>
    <definedName name="外部資料_452" localSheetId="2">紅綠燈!#REF!</definedName>
    <definedName name="外部資料_4521" localSheetId="2">紅綠燈!#REF!</definedName>
    <definedName name="外部資料_4522" localSheetId="2">紅綠燈!#REF!</definedName>
    <definedName name="外部資料_4523" localSheetId="2">紅綠燈!#REF!</definedName>
    <definedName name="外部資料_4525" localSheetId="2">紅綠燈!#REF!</definedName>
    <definedName name="外部資料_4526" localSheetId="2">紅綠燈!#REF!</definedName>
    <definedName name="外部資料_4527" localSheetId="2">紅綠燈!#REF!</definedName>
    <definedName name="外部資料_4529" localSheetId="2">紅綠燈!#REF!</definedName>
    <definedName name="外部資料_453" localSheetId="7">PKA!#REF!</definedName>
    <definedName name="外部資料_453" localSheetId="8">PKB!#REF!</definedName>
    <definedName name="外部資料_453" localSheetId="9">PKC!#REF!</definedName>
    <definedName name="外部資料_4530" localSheetId="2">紅綠燈!#REF!</definedName>
    <definedName name="外部資料_4531" localSheetId="2">紅綠燈!#REF!</definedName>
    <definedName name="外部資料_4533" localSheetId="2">紅綠燈!#REF!</definedName>
    <definedName name="外部資料_4534" localSheetId="2">紅綠燈!#REF!</definedName>
    <definedName name="外部資料_4535" localSheetId="2">紅綠燈!#REF!</definedName>
    <definedName name="外部資料_4537" localSheetId="2">紅綠燈!#REF!</definedName>
    <definedName name="外部資料_4538" localSheetId="2">紅綠燈!#REF!</definedName>
    <definedName name="外部資料_4539" localSheetId="2">紅綠燈!#REF!</definedName>
    <definedName name="外部資料_454" localSheetId="7">PKA!#REF!</definedName>
    <definedName name="外部資料_454" localSheetId="8">PKB!#REF!</definedName>
    <definedName name="外部資料_454" localSheetId="9">PKC!#REF!</definedName>
    <definedName name="外部資料_454" localSheetId="2">紅綠燈!#REF!</definedName>
    <definedName name="外部資料_4541" localSheetId="2">紅綠燈!#REF!</definedName>
    <definedName name="外部資料_4542" localSheetId="2">紅綠燈!#REF!</definedName>
    <definedName name="外部資料_4543" localSheetId="2">紅綠燈!#REF!</definedName>
    <definedName name="外部資料_4545" localSheetId="2">紅綠燈!#REF!</definedName>
    <definedName name="外部資料_4546" localSheetId="2">紅綠燈!#REF!</definedName>
    <definedName name="外部資料_4547" localSheetId="2">紅綠燈!#REF!</definedName>
    <definedName name="外部資料_4549" localSheetId="2">紅綠燈!#REF!</definedName>
    <definedName name="外部資料_455" localSheetId="7">PKA!#REF!</definedName>
    <definedName name="外部資料_455" localSheetId="8">PKB!#REF!</definedName>
    <definedName name="外部資料_455" localSheetId="9">PKC!#REF!</definedName>
    <definedName name="外部資料_455" localSheetId="2">紅綠燈!#REF!</definedName>
    <definedName name="外部資料_4550" localSheetId="2">紅綠燈!#REF!</definedName>
    <definedName name="外部資料_4551" localSheetId="2">紅綠燈!#REF!</definedName>
    <definedName name="外部資料_4553" localSheetId="2">紅綠燈!#REF!</definedName>
    <definedName name="外部資料_4554" localSheetId="2">紅綠燈!#REF!</definedName>
    <definedName name="外部資料_4555" localSheetId="2">紅綠燈!#REF!</definedName>
    <definedName name="外部資料_4557" localSheetId="2">紅綠燈!#REF!</definedName>
    <definedName name="外部資料_4558" localSheetId="2">紅綠燈!#REF!</definedName>
    <definedName name="外部資料_4559" localSheetId="2">紅綠燈!#REF!</definedName>
    <definedName name="外部資料_456" localSheetId="7">PKA!#REF!</definedName>
    <definedName name="外部資料_456" localSheetId="8">PKB!#REF!</definedName>
    <definedName name="外部資料_456" localSheetId="9">PKC!#REF!</definedName>
    <definedName name="外部資料_456" localSheetId="2">紅綠燈!#REF!</definedName>
    <definedName name="外部資料_4561" localSheetId="2">紅綠燈!#REF!</definedName>
    <definedName name="外部資料_4562" localSheetId="2">紅綠燈!#REF!</definedName>
    <definedName name="外部資料_4564" localSheetId="2">紅綠燈!#REF!</definedName>
    <definedName name="外部資料_4565" localSheetId="2">紅綠燈!#REF!</definedName>
    <definedName name="外部資料_4566" localSheetId="2">紅綠燈!#REF!</definedName>
    <definedName name="外部資料_4568" localSheetId="2">紅綠燈!#REF!</definedName>
    <definedName name="外部資料_4569" localSheetId="2">紅綠燈!#REF!</definedName>
    <definedName name="外部資料_457" localSheetId="7">PKA!#REF!</definedName>
    <definedName name="外部資料_457" localSheetId="8">PKB!#REF!</definedName>
    <definedName name="外部資料_457" localSheetId="9">PKC!#REF!</definedName>
    <definedName name="外部資料_4570" localSheetId="2">紅綠燈!#REF!</definedName>
    <definedName name="外部資料_4572" localSheetId="2">紅綠燈!#REF!</definedName>
    <definedName name="外部資料_4573" localSheetId="2">紅綠燈!#REF!</definedName>
    <definedName name="外部資料_4574" localSheetId="2">紅綠燈!#REF!</definedName>
    <definedName name="外部資料_4576" localSheetId="2">紅綠燈!#REF!</definedName>
    <definedName name="外部資料_4577" localSheetId="2">紅綠燈!#REF!</definedName>
    <definedName name="外部資料_4578" localSheetId="2">紅綠燈!#REF!</definedName>
    <definedName name="外部資料_458" localSheetId="7">PKA!#REF!</definedName>
    <definedName name="外部資料_458" localSheetId="8">PKB!#REF!</definedName>
    <definedName name="外部資料_458" localSheetId="9">PKC!#REF!</definedName>
    <definedName name="外部資料_458" localSheetId="2">紅綠燈!#REF!</definedName>
    <definedName name="外部資料_4580" localSheetId="2">紅綠燈!#REF!</definedName>
    <definedName name="外部資料_4581" localSheetId="2">紅綠燈!#REF!</definedName>
    <definedName name="外部資料_4582" localSheetId="2">紅綠燈!#REF!</definedName>
    <definedName name="外部資料_4584" localSheetId="2">紅綠燈!#REF!</definedName>
    <definedName name="外部資料_4585" localSheetId="2">紅綠燈!#REF!</definedName>
    <definedName name="外部資料_4586" localSheetId="2">紅綠燈!#REF!</definedName>
    <definedName name="外部資料_4588" localSheetId="2">紅綠燈!#REF!</definedName>
    <definedName name="外部資料_4589" localSheetId="2">紅綠燈!#REF!</definedName>
    <definedName name="外部資料_459" localSheetId="7">PKA!#REF!</definedName>
    <definedName name="外部資料_459" localSheetId="8">PKB!#REF!</definedName>
    <definedName name="外部資料_459" localSheetId="9">PKC!#REF!</definedName>
    <definedName name="外部資料_459" localSheetId="2">紅綠燈!#REF!</definedName>
    <definedName name="外部資料_4590" localSheetId="2">紅綠燈!#REF!</definedName>
    <definedName name="外部資料_4592" localSheetId="2">紅綠燈!#REF!</definedName>
    <definedName name="外部資料_4593" localSheetId="2">紅綠燈!#REF!</definedName>
    <definedName name="外部資料_4594" localSheetId="2">紅綠燈!#REF!</definedName>
    <definedName name="外部資料_4596" localSheetId="2">紅綠燈!#REF!</definedName>
    <definedName name="外部資料_4597" localSheetId="2">紅綠燈!#REF!</definedName>
    <definedName name="外部資料_4598" localSheetId="2">紅綠燈!#REF!</definedName>
    <definedName name="外部資料_46" localSheetId="7">PKA!#REF!</definedName>
    <definedName name="外部資料_46" localSheetId="8">PKB!#REF!</definedName>
    <definedName name="外部資料_46" localSheetId="9">PKC!#REF!</definedName>
    <definedName name="外部資料_46" localSheetId="13">PSR!#REF!</definedName>
    <definedName name="外部資料_46" localSheetId="3">評比系統!#REF!</definedName>
    <definedName name="外部資料_46" localSheetId="10">福邦!#REF!</definedName>
    <definedName name="外部資料_46" localSheetId="11">營收搶先報!#REF!</definedName>
    <definedName name="外部資料_460" localSheetId="7">PKA!#REF!</definedName>
    <definedName name="外部資料_460" localSheetId="8">PKB!#REF!</definedName>
    <definedName name="外部資料_460" localSheetId="9">PKC!#REF!</definedName>
    <definedName name="外部資料_460" localSheetId="2">紅綠燈!#REF!</definedName>
    <definedName name="外部資料_4600" localSheetId="2">紅綠燈!#REF!</definedName>
    <definedName name="外部資料_4601" localSheetId="2">紅綠燈!#REF!</definedName>
    <definedName name="外部資料_4602" localSheetId="2">紅綠燈!#REF!</definedName>
    <definedName name="外部資料_4604" localSheetId="2">紅綠燈!#REF!</definedName>
    <definedName name="外部資料_4605" localSheetId="2">紅綠燈!#REF!</definedName>
    <definedName name="外部資料_4606" localSheetId="2">紅綠燈!#REF!</definedName>
    <definedName name="外部資料_4608" localSheetId="2">紅綠燈!#REF!</definedName>
    <definedName name="外部資料_4609" localSheetId="2">紅綠燈!#REF!</definedName>
    <definedName name="外部資料_461" localSheetId="7">PKA!#REF!</definedName>
    <definedName name="外部資料_461" localSheetId="8">PKB!#REF!</definedName>
    <definedName name="外部資料_461" localSheetId="9">PKC!#REF!</definedName>
    <definedName name="外部資料_4610" localSheetId="2">紅綠燈!#REF!</definedName>
    <definedName name="外部資料_4612" localSheetId="2">紅綠燈!#REF!</definedName>
    <definedName name="外部資料_4613" localSheetId="2">紅綠燈!#REF!</definedName>
    <definedName name="外部資料_4614" localSheetId="2">紅綠燈!#REF!</definedName>
    <definedName name="外部資料_4616" localSheetId="2">紅綠燈!#REF!</definedName>
    <definedName name="外部資料_4617" localSheetId="2">紅綠燈!#REF!</definedName>
    <definedName name="外部資料_4618" localSheetId="2">紅綠燈!#REF!</definedName>
    <definedName name="外部資料_462" localSheetId="7">PKA!#REF!</definedName>
    <definedName name="外部資料_462" localSheetId="8">PKB!#REF!</definedName>
    <definedName name="外部資料_462" localSheetId="9">PKC!#REF!</definedName>
    <definedName name="外部資料_462" localSheetId="2">紅綠燈!#REF!</definedName>
    <definedName name="外部資料_4620" localSheetId="2">紅綠燈!#REF!</definedName>
    <definedName name="外部資料_4621" localSheetId="2">紅綠燈!#REF!</definedName>
    <definedName name="外部資料_4622" localSheetId="2">紅綠燈!#REF!</definedName>
    <definedName name="外部資料_4624" localSheetId="2">紅綠燈!#REF!</definedName>
    <definedName name="外部資料_4625" localSheetId="2">紅綠燈!#REF!</definedName>
    <definedName name="外部資料_4626" localSheetId="2">紅綠燈!#REF!</definedName>
    <definedName name="外部資料_4628" localSheetId="2">紅綠燈!#REF!</definedName>
    <definedName name="外部資料_4629" localSheetId="2">紅綠燈!#REF!</definedName>
    <definedName name="外部資料_463" localSheetId="7">PKA!#REF!</definedName>
    <definedName name="外部資料_463" localSheetId="8">PKB!#REF!</definedName>
    <definedName name="外部資料_463" localSheetId="9">PKC!#REF!</definedName>
    <definedName name="外部資料_463" localSheetId="2">紅綠燈!#REF!</definedName>
    <definedName name="外部資料_4630" localSheetId="2">紅綠燈!#REF!</definedName>
    <definedName name="外部資料_4632" localSheetId="2">紅綠燈!#REF!</definedName>
    <definedName name="外部資料_4633" localSheetId="2">紅綠燈!#REF!</definedName>
    <definedName name="外部資料_4634" localSheetId="2">紅綠燈!#REF!</definedName>
    <definedName name="外部資料_4636" localSheetId="2">紅綠燈!#REF!</definedName>
    <definedName name="外部資料_4637" localSheetId="2">紅綠燈!#REF!</definedName>
    <definedName name="外部資料_4638" localSheetId="2">紅綠燈!#REF!</definedName>
    <definedName name="外部資料_464" localSheetId="7">PKA!#REF!</definedName>
    <definedName name="外部資料_464" localSheetId="8">PKB!#REF!</definedName>
    <definedName name="外部資料_464" localSheetId="9">PKC!#REF!</definedName>
    <definedName name="外部資料_464" localSheetId="2">紅綠燈!#REF!</definedName>
    <definedName name="外部資料_4642" localSheetId="2">紅綠燈!#REF!</definedName>
    <definedName name="外部資料_4643" localSheetId="2">紅綠燈!#REF!</definedName>
    <definedName name="外部資料_4644" localSheetId="2">紅綠燈!#REF!</definedName>
    <definedName name="外部資料_4646" localSheetId="2">紅綠燈!#REF!</definedName>
    <definedName name="外部資料_4647" localSheetId="2">紅綠燈!#REF!</definedName>
    <definedName name="外部資料_4648" localSheetId="2">紅綠燈!#REF!</definedName>
    <definedName name="外部資料_465" localSheetId="7">PKA!#REF!</definedName>
    <definedName name="外部資料_465" localSheetId="8">PKB!#REF!</definedName>
    <definedName name="外部資料_465" localSheetId="9">PKC!#REF!</definedName>
    <definedName name="外部資料_4650" localSheetId="2">紅綠燈!#REF!</definedName>
    <definedName name="外部資料_4651" localSheetId="2">紅綠燈!#REF!</definedName>
    <definedName name="外部資料_4652" localSheetId="2">紅綠燈!#REF!</definedName>
    <definedName name="外部資料_4654" localSheetId="2">紅綠燈!#REF!</definedName>
    <definedName name="外部資料_4655" localSheetId="2">紅綠燈!#REF!</definedName>
    <definedName name="外部資料_4657" localSheetId="2">紅綠燈!#REF!</definedName>
    <definedName name="外部資料_4658" localSheetId="2">紅綠燈!#REF!</definedName>
    <definedName name="外部資料_466" localSheetId="7">PKA!#REF!</definedName>
    <definedName name="外部資料_466" localSheetId="8">PKB!#REF!</definedName>
    <definedName name="外部資料_466" localSheetId="9">PKC!#REF!</definedName>
    <definedName name="外部資料_466" localSheetId="2">紅綠燈!#REF!</definedName>
    <definedName name="外部資料_4660" localSheetId="2">紅綠燈!#REF!</definedName>
    <definedName name="外部資料_4661" localSheetId="2">紅綠燈!#REF!</definedName>
    <definedName name="外部資料_4662" localSheetId="2">紅綠燈!#REF!</definedName>
    <definedName name="外部資料_4664" localSheetId="2">紅綠燈!#REF!</definedName>
    <definedName name="外部資料_4665" localSheetId="2">紅綠燈!#REF!</definedName>
    <definedName name="外部資料_4666" localSheetId="2">紅綠燈!#REF!</definedName>
    <definedName name="外部資料_4668" localSheetId="2">紅綠燈!#REF!</definedName>
    <definedName name="外部資料_4669" localSheetId="2">紅綠燈!#REF!</definedName>
    <definedName name="外部資料_467" localSheetId="7">PKA!#REF!</definedName>
    <definedName name="外部資料_467" localSheetId="8">PKB!#REF!</definedName>
    <definedName name="外部資料_467" localSheetId="9">PKC!#REF!</definedName>
    <definedName name="外部資料_467" localSheetId="2">紅綠燈!#REF!</definedName>
    <definedName name="外部資料_4670" localSheetId="2">紅綠燈!#REF!</definedName>
    <definedName name="外部資料_4672" localSheetId="2">紅綠燈!#REF!</definedName>
    <definedName name="外部資料_4673" localSheetId="2">紅綠燈!#REF!</definedName>
    <definedName name="外部資料_4674" localSheetId="2">紅綠燈!#REF!</definedName>
    <definedName name="外部資料_4676" localSheetId="2">紅綠燈!#REF!</definedName>
    <definedName name="外部資料_4677" localSheetId="2">紅綠燈!#REF!</definedName>
    <definedName name="外部資料_4678" localSheetId="2">紅綠燈!#REF!</definedName>
    <definedName name="外部資料_468" localSheetId="7">PKA!#REF!</definedName>
    <definedName name="外部資料_468" localSheetId="8">PKB!#REF!</definedName>
    <definedName name="外部資料_468" localSheetId="9">PKC!#REF!</definedName>
    <definedName name="外部資料_468" localSheetId="2">紅綠燈!#REF!</definedName>
    <definedName name="外部資料_4680" localSheetId="2">紅綠燈!#REF!</definedName>
    <definedName name="外部資料_4681" localSheetId="2">紅綠燈!#REF!</definedName>
    <definedName name="外部資料_4682" localSheetId="2">紅綠燈!#REF!</definedName>
    <definedName name="外部資料_4684" localSheetId="2">紅綠燈!#REF!</definedName>
    <definedName name="外部資料_4685" localSheetId="2">紅綠燈!#REF!</definedName>
    <definedName name="外部資料_4686" localSheetId="2">紅綠燈!#REF!</definedName>
    <definedName name="外部資料_4688" localSheetId="2">紅綠燈!#REF!</definedName>
    <definedName name="外部資料_4689" localSheetId="2">紅綠燈!#REF!</definedName>
    <definedName name="外部資料_469" localSheetId="7">PKA!#REF!</definedName>
    <definedName name="外部資料_469" localSheetId="8">PKB!#REF!</definedName>
    <definedName name="外部資料_469" localSheetId="9">PKC!#REF!</definedName>
    <definedName name="外部資料_4690" localSheetId="2">紅綠燈!#REF!</definedName>
    <definedName name="外部資料_4692" localSheetId="2">紅綠燈!#REF!</definedName>
    <definedName name="外部資料_4693" localSheetId="2">紅綠燈!#REF!</definedName>
    <definedName name="外部資料_4694" localSheetId="2">紅綠燈!#REF!</definedName>
    <definedName name="外部資料_4696" localSheetId="2">紅綠燈!#REF!</definedName>
    <definedName name="外部資料_4697" localSheetId="2">紅綠燈!#REF!</definedName>
    <definedName name="外部資料_4698" localSheetId="2">紅綠燈!#REF!</definedName>
    <definedName name="外部資料_47" localSheetId="7">PKA!#REF!</definedName>
    <definedName name="外部資料_47" localSheetId="8">PKB!#REF!</definedName>
    <definedName name="外部資料_47" localSheetId="9">PKC!#REF!</definedName>
    <definedName name="外部資料_47" localSheetId="13">PSR!#REF!</definedName>
    <definedName name="外部資料_47" localSheetId="3">評比系統!#REF!</definedName>
    <definedName name="外部資料_47" localSheetId="10">福邦!#REF!</definedName>
    <definedName name="外部資料_47" localSheetId="11">營收搶先報!#REF!</definedName>
    <definedName name="外部資料_470" localSheetId="7">PKA!#REF!</definedName>
    <definedName name="外部資料_470" localSheetId="8">PKB!#REF!</definedName>
    <definedName name="外部資料_470" localSheetId="9">PKC!#REF!</definedName>
    <definedName name="外部資料_470" localSheetId="2">紅綠燈!#REF!</definedName>
    <definedName name="外部資料_4700" localSheetId="2">紅綠燈!#REF!</definedName>
    <definedName name="外部資料_4701" localSheetId="2">紅綠燈!#REF!</definedName>
    <definedName name="外部資料_4702" localSheetId="2">紅綠燈!#REF!</definedName>
    <definedName name="外部資料_4704" localSheetId="2">紅綠燈!#REF!</definedName>
    <definedName name="外部資料_4705" localSheetId="2">紅綠燈!#REF!</definedName>
    <definedName name="外部資料_4706" localSheetId="2">紅綠燈!#REF!</definedName>
    <definedName name="外部資料_4708" localSheetId="2">紅綠燈!#REF!</definedName>
    <definedName name="外部資料_4709" localSheetId="2">紅綠燈!#REF!</definedName>
    <definedName name="外部資料_471" localSheetId="7">PKA!#REF!</definedName>
    <definedName name="外部資料_471" localSheetId="8">PKB!#REF!</definedName>
    <definedName name="外部資料_471" localSheetId="9">PKC!#REF!</definedName>
    <definedName name="外部資料_471" localSheetId="2">紅綠燈!#REF!</definedName>
    <definedName name="外部資料_4710" localSheetId="2">紅綠燈!#REF!</definedName>
    <definedName name="外部資料_4712" localSheetId="2">紅綠燈!#REF!</definedName>
    <definedName name="外部資料_4713" localSheetId="2">紅綠燈!#REF!</definedName>
    <definedName name="外部資料_4714" localSheetId="2">紅綠燈!#REF!</definedName>
    <definedName name="外部資料_4716" localSheetId="2">紅綠燈!#REF!</definedName>
    <definedName name="外部資料_4717" localSheetId="2">紅綠燈!#REF!</definedName>
    <definedName name="外部資料_4718" localSheetId="2">紅綠燈!#REF!</definedName>
    <definedName name="外部資料_472" localSheetId="7">PKA!#REF!</definedName>
    <definedName name="外部資料_472" localSheetId="8">PKB!#REF!</definedName>
    <definedName name="外部資料_472" localSheetId="9">PKC!#REF!</definedName>
    <definedName name="外部資料_472" localSheetId="2">紅綠燈!#REF!</definedName>
    <definedName name="外部資料_4720" localSheetId="2">紅綠燈!#REF!</definedName>
    <definedName name="外部資料_4721" localSheetId="2">紅綠燈!#REF!</definedName>
    <definedName name="外部資料_4722" localSheetId="2">紅綠燈!#REF!</definedName>
    <definedName name="外部資料_4724" localSheetId="2">紅綠燈!#REF!</definedName>
    <definedName name="外部資料_4725" localSheetId="2">紅綠燈!#REF!</definedName>
    <definedName name="外部資料_4726" localSheetId="2">紅綠燈!#REF!</definedName>
    <definedName name="外部資料_4728" localSheetId="2">紅綠燈!#REF!</definedName>
    <definedName name="外部資料_4729" localSheetId="2">紅綠燈!#REF!</definedName>
    <definedName name="外部資料_473" localSheetId="7">PKA!#REF!</definedName>
    <definedName name="外部資料_473" localSheetId="8">PKB!#REF!</definedName>
    <definedName name="外部資料_473" localSheetId="9">PKC!#REF!</definedName>
    <definedName name="外部資料_4730" localSheetId="2">紅綠燈!#REF!</definedName>
    <definedName name="外部資料_4732" localSheetId="2">紅綠燈!#REF!</definedName>
    <definedName name="外部資料_4733" localSheetId="2">紅綠燈!#REF!</definedName>
    <definedName name="外部資料_4734" localSheetId="2">紅綠燈!#REF!</definedName>
    <definedName name="外部資料_4736" localSheetId="2">紅綠燈!#REF!</definedName>
    <definedName name="外部資料_4737" localSheetId="2">紅綠燈!#REF!</definedName>
    <definedName name="外部資料_4738" localSheetId="2">紅綠燈!#REF!</definedName>
    <definedName name="外部資料_474" localSheetId="7">PKA!#REF!</definedName>
    <definedName name="外部資料_474" localSheetId="8">PKB!#REF!</definedName>
    <definedName name="外部資料_474" localSheetId="9">PKC!#REF!</definedName>
    <definedName name="外部資料_474" localSheetId="2">紅綠燈!#REF!</definedName>
    <definedName name="外部資料_4740" localSheetId="2">紅綠燈!#REF!</definedName>
    <definedName name="外部資料_4741" localSheetId="2">紅綠燈!#REF!</definedName>
    <definedName name="外部資料_4743" localSheetId="2">紅綠燈!#REF!</definedName>
    <definedName name="外部資料_4744" localSheetId="2">紅綠燈!#REF!</definedName>
    <definedName name="外部資料_4745" localSheetId="2">紅綠燈!#REF!</definedName>
    <definedName name="外部資料_4747" localSheetId="2">紅綠燈!#REF!</definedName>
    <definedName name="外部資料_4748" localSheetId="2">紅綠燈!#REF!</definedName>
    <definedName name="外部資料_4749" localSheetId="2">紅綠燈!#REF!</definedName>
    <definedName name="外部資料_475" localSheetId="7">PKA!#REF!</definedName>
    <definedName name="外部資料_475" localSheetId="8">PKB!#REF!</definedName>
    <definedName name="外部資料_475" localSheetId="9">PKC!#REF!</definedName>
    <definedName name="外部資料_475" localSheetId="2">紅綠燈!#REF!</definedName>
    <definedName name="外部資料_4751" localSheetId="2">紅綠燈!#REF!</definedName>
    <definedName name="外部資料_4752" localSheetId="2">紅綠燈!#REF!</definedName>
    <definedName name="外部資料_4753" localSheetId="2">紅綠燈!#REF!</definedName>
    <definedName name="外部資料_4755" localSheetId="2">紅綠燈!#REF!</definedName>
    <definedName name="外部資料_4756" localSheetId="2">紅綠燈!#REF!</definedName>
    <definedName name="外部資料_4757" localSheetId="2">紅綠燈!#REF!</definedName>
    <definedName name="外部資料_4759" localSheetId="2">紅綠燈!#REF!</definedName>
    <definedName name="外部資料_476" localSheetId="7">PKA!#REF!</definedName>
    <definedName name="外部資料_476" localSheetId="8">PKB!#REF!</definedName>
    <definedName name="外部資料_476" localSheetId="9">PKC!#REF!</definedName>
    <definedName name="外部資料_476" localSheetId="2">紅綠燈!#REF!</definedName>
    <definedName name="外部資料_4760" localSheetId="2">紅綠燈!#REF!</definedName>
    <definedName name="外部資料_4761" localSheetId="2">紅綠燈!#REF!</definedName>
    <definedName name="外部資料_4763" localSheetId="2">紅綠燈!#REF!</definedName>
    <definedName name="外部資料_4764" localSheetId="2">紅綠燈!#REF!</definedName>
    <definedName name="外部資料_4765" localSheetId="2">紅綠燈!#REF!</definedName>
    <definedName name="外部資料_4767" localSheetId="2">紅綠燈!#REF!</definedName>
    <definedName name="外部資料_4768" localSheetId="2">紅綠燈!#REF!</definedName>
    <definedName name="外部資料_4769" localSheetId="2">紅綠燈!#REF!</definedName>
    <definedName name="外部資料_477" localSheetId="7">PKA!#REF!</definedName>
    <definedName name="外部資料_477" localSheetId="8">PKB!#REF!</definedName>
    <definedName name="外部資料_477" localSheetId="9">PKC!#REF!</definedName>
    <definedName name="外部資料_4771" localSheetId="2">紅綠燈!#REF!</definedName>
    <definedName name="外部資料_4772" localSheetId="2">紅綠燈!#REF!</definedName>
    <definedName name="外部資料_4773" localSheetId="2">紅綠燈!#REF!</definedName>
    <definedName name="外部資料_4775" localSheetId="2">紅綠燈!#REF!</definedName>
    <definedName name="外部資料_4776" localSheetId="2">紅綠燈!#REF!</definedName>
    <definedName name="外部資料_4777" localSheetId="2">紅綠燈!#REF!</definedName>
    <definedName name="外部資料_4779" localSheetId="2">紅綠燈!#REF!</definedName>
    <definedName name="外部資料_478" localSheetId="7">PKA!#REF!</definedName>
    <definedName name="外部資料_478" localSheetId="8">PKB!#REF!</definedName>
    <definedName name="外部資料_478" localSheetId="9">PKC!#REF!</definedName>
    <definedName name="外部資料_478" localSheetId="2">紅綠燈!#REF!</definedName>
    <definedName name="外部資料_4780" localSheetId="2">紅綠燈!#REF!</definedName>
    <definedName name="外部資料_4781" localSheetId="2">紅綠燈!#REF!</definedName>
    <definedName name="外部資料_4783" localSheetId="2">紅綠燈!#REF!</definedName>
    <definedName name="外部資料_4784" localSheetId="2">紅綠燈!#REF!</definedName>
    <definedName name="外部資料_4785" localSheetId="2">紅綠燈!#REF!</definedName>
    <definedName name="外部資料_4787" localSheetId="2">紅綠燈!#REF!</definedName>
    <definedName name="外部資料_4788" localSheetId="2">紅綠燈!#REF!</definedName>
    <definedName name="外部資料_4789" localSheetId="2">紅綠燈!#REF!</definedName>
    <definedName name="外部資料_479" localSheetId="7">PKA!#REF!</definedName>
    <definedName name="外部資料_479" localSheetId="8">PKB!#REF!</definedName>
    <definedName name="外部資料_479" localSheetId="9">PKC!#REF!</definedName>
    <definedName name="外部資料_479" localSheetId="2">紅綠燈!#REF!</definedName>
    <definedName name="外部資料_4791" localSheetId="2">紅綠燈!#REF!</definedName>
    <definedName name="外部資料_4792" localSheetId="2">紅綠燈!#REF!</definedName>
    <definedName name="外部資料_4793" localSheetId="2">紅綠燈!#REF!</definedName>
    <definedName name="外部資料_4795" localSheetId="2">紅綠燈!#REF!</definedName>
    <definedName name="外部資料_4796" localSheetId="2">紅綠燈!#REF!</definedName>
    <definedName name="外部資料_4797" localSheetId="2">紅綠燈!#REF!</definedName>
    <definedName name="外部資料_4799" localSheetId="2">紅綠燈!#REF!</definedName>
    <definedName name="外部資料_48" localSheetId="7">PKA!#REF!</definedName>
    <definedName name="外部資料_48" localSheetId="8">PKB!#REF!</definedName>
    <definedName name="外部資料_48" localSheetId="9">PKC!#REF!</definedName>
    <definedName name="外部資料_48" localSheetId="13">PSR!#REF!</definedName>
    <definedName name="外部資料_48" localSheetId="3">評比系統!#REF!</definedName>
    <definedName name="外部資料_48" localSheetId="10">福邦!#REF!</definedName>
    <definedName name="外部資料_48" localSheetId="11">營收搶先報!#REF!</definedName>
    <definedName name="外部資料_480" localSheetId="7">PKA!#REF!</definedName>
    <definedName name="外部資料_480" localSheetId="8">PKB!#REF!</definedName>
    <definedName name="外部資料_480" localSheetId="9">PKC!#REF!</definedName>
    <definedName name="外部資料_480" localSheetId="2">紅綠燈!#REF!</definedName>
    <definedName name="外部資料_4800" localSheetId="2">紅綠燈!#REF!</definedName>
    <definedName name="外部資料_4801" localSheetId="2">紅綠燈!#REF!</definedName>
    <definedName name="外部資料_4803" localSheetId="2">紅綠燈!#REF!</definedName>
    <definedName name="外部資料_4804" localSheetId="2">紅綠燈!#REF!</definedName>
    <definedName name="外部資料_4805" localSheetId="2">紅綠燈!#REF!</definedName>
    <definedName name="外部資料_4807" localSheetId="2">紅綠燈!#REF!</definedName>
    <definedName name="外部資料_4808" localSheetId="2">紅綠燈!#REF!</definedName>
    <definedName name="外部資料_4809" localSheetId="2">紅綠燈!#REF!</definedName>
    <definedName name="外部資料_481" localSheetId="7">PKA!#REF!</definedName>
    <definedName name="外部資料_481" localSheetId="8">PKB!#REF!</definedName>
    <definedName name="外部資料_481" localSheetId="9">PKC!#REF!</definedName>
    <definedName name="外部資料_4811" localSheetId="2">紅綠燈!#REF!</definedName>
    <definedName name="外部資料_4812" localSheetId="2">紅綠燈!#REF!</definedName>
    <definedName name="外部資料_4813" localSheetId="2">紅綠燈!#REF!</definedName>
    <definedName name="外部資料_4815" localSheetId="2">紅綠燈!#REF!</definedName>
    <definedName name="外部資料_4816" localSheetId="2">紅綠燈!#REF!</definedName>
    <definedName name="外部資料_4817" localSheetId="2">紅綠燈!#REF!</definedName>
    <definedName name="外部資料_4819" localSheetId="2">紅綠燈!#REF!</definedName>
    <definedName name="外部資料_482" localSheetId="7">PKA!#REF!</definedName>
    <definedName name="外部資料_482" localSheetId="8">PKB!#REF!</definedName>
    <definedName name="外部資料_482" localSheetId="9">PKC!#REF!</definedName>
    <definedName name="外部資料_482" localSheetId="2">紅綠燈!#REF!</definedName>
    <definedName name="外部資料_4820" localSheetId="2">紅綠燈!#REF!</definedName>
    <definedName name="外部資料_4821" localSheetId="2">紅綠燈!#REF!</definedName>
    <definedName name="外部資料_4823" localSheetId="2">紅綠燈!#REF!</definedName>
    <definedName name="外部資料_4824" localSheetId="2">紅綠燈!#REF!</definedName>
    <definedName name="外部資料_4825" localSheetId="2">紅綠燈!#REF!</definedName>
    <definedName name="外部資料_4827" localSheetId="2">紅綠燈!#REF!</definedName>
    <definedName name="外部資料_4828" localSheetId="2">紅綠燈!#REF!</definedName>
    <definedName name="外部資料_4829" localSheetId="2">紅綠燈!#REF!</definedName>
    <definedName name="外部資料_483" localSheetId="7">PKA!#REF!</definedName>
    <definedName name="外部資料_483" localSheetId="8">PKB!#REF!</definedName>
    <definedName name="外部資料_483" localSheetId="9">PKC!#REF!</definedName>
    <definedName name="外部資料_483" localSheetId="2">紅綠燈!#REF!</definedName>
    <definedName name="外部資料_4831" localSheetId="2">紅綠燈!#REF!</definedName>
    <definedName name="外部資料_4832" localSheetId="2">紅綠燈!#REF!</definedName>
    <definedName name="外部資料_4833" localSheetId="2">紅綠燈!#REF!</definedName>
    <definedName name="外部資料_4835" localSheetId="2">紅綠燈!#REF!</definedName>
    <definedName name="外部資料_4836" localSheetId="2">紅綠燈!#REF!</definedName>
    <definedName name="外部資料_4837" localSheetId="2">紅綠燈!#REF!</definedName>
    <definedName name="外部資料_4839" localSheetId="2">紅綠燈!#REF!</definedName>
    <definedName name="外部資料_484" localSheetId="7">PKA!#REF!</definedName>
    <definedName name="外部資料_484" localSheetId="8">PKB!#REF!</definedName>
    <definedName name="外部資料_484" localSheetId="9">PKC!#REF!</definedName>
    <definedName name="外部資料_484" localSheetId="2">紅綠燈!#REF!</definedName>
    <definedName name="外部資料_4840" localSheetId="2">紅綠燈!#REF!</definedName>
    <definedName name="外部資料_4841" localSheetId="2">紅綠燈!#REF!</definedName>
    <definedName name="外部資料_4843" localSheetId="2">紅綠燈!#REF!</definedName>
    <definedName name="外部資料_4844" localSheetId="2">紅綠燈!#REF!</definedName>
    <definedName name="外部資料_4845" localSheetId="2">紅綠燈!#REF!</definedName>
    <definedName name="外部資料_4847" localSheetId="2">紅綠燈!#REF!</definedName>
    <definedName name="外部資料_4848" localSheetId="2">紅綠燈!#REF!</definedName>
    <definedName name="外部資料_4849" localSheetId="2">紅綠燈!#REF!</definedName>
    <definedName name="外部資料_485" localSheetId="7">PKA!#REF!</definedName>
    <definedName name="外部資料_485" localSheetId="8">PKB!#REF!</definedName>
    <definedName name="外部資料_485" localSheetId="9">PKC!#REF!</definedName>
    <definedName name="外部資料_4851" localSheetId="2">紅綠燈!#REF!</definedName>
    <definedName name="外部資料_4852" localSheetId="2">紅綠燈!#REF!</definedName>
    <definedName name="外部資料_4853" localSheetId="2">紅綠燈!#REF!</definedName>
    <definedName name="外部資料_4855" localSheetId="2">紅綠燈!#REF!</definedName>
    <definedName name="外部資料_4856" localSheetId="2">紅綠燈!#REF!</definedName>
    <definedName name="外部資料_4857" localSheetId="2">紅綠燈!#REF!</definedName>
    <definedName name="外部資料_4859" localSheetId="2">紅綠燈!#REF!</definedName>
    <definedName name="外部資料_486" localSheetId="7">PKA!#REF!</definedName>
    <definedName name="外部資料_486" localSheetId="8">PKB!#REF!</definedName>
    <definedName name="外部資料_486" localSheetId="9">PKC!#REF!</definedName>
    <definedName name="外部資料_486" localSheetId="2">紅綠燈!#REF!</definedName>
    <definedName name="外部資料_4860" localSheetId="2">紅綠燈!#REF!</definedName>
    <definedName name="外部資料_4861" localSheetId="2">紅綠燈!#REF!</definedName>
    <definedName name="外部資料_4863" localSheetId="2">紅綠燈!#REF!</definedName>
    <definedName name="外部資料_4864" localSheetId="2">紅綠燈!#REF!</definedName>
    <definedName name="外部資料_4865" localSheetId="2">紅綠燈!#REF!</definedName>
    <definedName name="外部資料_4867" localSheetId="2">紅綠燈!#REF!</definedName>
    <definedName name="外部資料_4868" localSheetId="2">紅綠燈!#REF!</definedName>
    <definedName name="外部資料_4869" localSheetId="2">紅綠燈!#REF!</definedName>
    <definedName name="外部資料_487" localSheetId="7">PKA!#REF!</definedName>
    <definedName name="外部資料_487" localSheetId="8">PKB!#REF!</definedName>
    <definedName name="外部資料_487" localSheetId="9">PKC!#REF!</definedName>
    <definedName name="外部資料_487" localSheetId="2">紅綠燈!#REF!</definedName>
    <definedName name="外部資料_4871" localSheetId="2">紅綠燈!#REF!</definedName>
    <definedName name="外部資料_4872" localSheetId="2">紅綠燈!#REF!</definedName>
    <definedName name="外部資料_4873" localSheetId="2">紅綠燈!#REF!</definedName>
    <definedName name="外部資料_4875" localSheetId="2">紅綠燈!#REF!</definedName>
    <definedName name="外部資料_4876" localSheetId="2">紅綠燈!#REF!</definedName>
    <definedName name="外部資料_4877" localSheetId="2">紅綠燈!#REF!</definedName>
    <definedName name="外部資料_4879" localSheetId="2">紅綠燈!#REF!</definedName>
    <definedName name="外部資料_488" localSheetId="7">PKA!#REF!</definedName>
    <definedName name="外部資料_488" localSheetId="8">PKB!#REF!</definedName>
    <definedName name="外部資料_488" localSheetId="9">PKC!#REF!</definedName>
    <definedName name="外部資料_488" localSheetId="2">紅綠燈!#REF!</definedName>
    <definedName name="外部資料_4880" localSheetId="2">紅綠燈!#REF!</definedName>
    <definedName name="外部資料_4881" localSheetId="2">紅綠燈!#REF!</definedName>
    <definedName name="外部資料_4883" localSheetId="2">紅綠燈!#REF!</definedName>
    <definedName name="外部資料_4884" localSheetId="2">紅綠燈!#REF!</definedName>
    <definedName name="外部資料_4885" localSheetId="2">紅綠燈!#REF!</definedName>
    <definedName name="外部資料_4887" localSheetId="2">紅綠燈!#REF!</definedName>
    <definedName name="外部資料_4888" localSheetId="2">紅綠燈!#REF!</definedName>
    <definedName name="外部資料_4889" localSheetId="2">紅綠燈!#REF!</definedName>
    <definedName name="外部資料_489" localSheetId="7">PKA!#REF!</definedName>
    <definedName name="外部資料_489" localSheetId="8">PKB!#REF!</definedName>
    <definedName name="外部資料_489" localSheetId="9">PKC!#REF!</definedName>
    <definedName name="外部資料_4891" localSheetId="2">紅綠燈!#REF!</definedName>
    <definedName name="外部資料_4892" localSheetId="2">紅綠燈!#REF!</definedName>
    <definedName name="外部資料_4893" localSheetId="2">紅綠燈!#REF!</definedName>
    <definedName name="外部資料_4895" localSheetId="2">紅綠燈!#REF!</definedName>
    <definedName name="外部資料_4896" localSheetId="2">紅綠燈!#REF!</definedName>
    <definedName name="外部資料_4897" localSheetId="2">紅綠燈!#REF!</definedName>
    <definedName name="外部資料_4899" localSheetId="2">紅綠燈!#REF!</definedName>
    <definedName name="外部資料_49" localSheetId="7">PKA!#REF!</definedName>
    <definedName name="外部資料_49" localSheetId="8">PKB!#REF!</definedName>
    <definedName name="外部資料_49" localSheetId="9">PKC!#REF!</definedName>
    <definedName name="外部資料_49" localSheetId="13">PSR!#REF!</definedName>
    <definedName name="外部資料_49" localSheetId="3">評比系統!#REF!</definedName>
    <definedName name="外部資料_49" localSheetId="10">福邦!#REF!</definedName>
    <definedName name="外部資料_49" localSheetId="11">營收搶先報!#REF!</definedName>
    <definedName name="外部資料_490" localSheetId="7">PKA!#REF!</definedName>
    <definedName name="外部資料_490" localSheetId="8">PKB!#REF!</definedName>
    <definedName name="外部資料_490" localSheetId="9">PKC!#REF!</definedName>
    <definedName name="外部資料_490" localSheetId="2">紅綠燈!#REF!</definedName>
    <definedName name="外部資料_4900" localSheetId="2">紅綠燈!#REF!</definedName>
    <definedName name="外部資料_4901" localSheetId="2">紅綠燈!#REF!</definedName>
    <definedName name="外部資料_4903" localSheetId="2">紅綠燈!#REF!</definedName>
    <definedName name="外部資料_4904" localSheetId="2">紅綠燈!#REF!</definedName>
    <definedName name="外部資料_4905" localSheetId="2">紅綠燈!#REF!</definedName>
    <definedName name="外部資料_4907" localSheetId="2">紅綠燈!#REF!</definedName>
    <definedName name="外部資料_4908" localSheetId="2">紅綠燈!#REF!</definedName>
    <definedName name="外部資料_4909" localSheetId="2">紅綠燈!#REF!</definedName>
    <definedName name="外部資料_491" localSheetId="7">PKA!#REF!</definedName>
    <definedName name="外部資料_491" localSheetId="8">PKB!#REF!</definedName>
    <definedName name="外部資料_491" localSheetId="9">PKC!#REF!</definedName>
    <definedName name="外部資料_491" localSheetId="2">紅綠燈!#REF!</definedName>
    <definedName name="外部資料_4911" localSheetId="2">紅綠燈!#REF!</definedName>
    <definedName name="外部資料_4912" localSheetId="2">紅綠燈!#REF!</definedName>
    <definedName name="外部資料_4913" localSheetId="2">紅綠燈!#REF!</definedName>
    <definedName name="外部資料_4915" localSheetId="2">紅綠燈!#REF!</definedName>
    <definedName name="外部資料_4916" localSheetId="2">紅綠燈!#REF!</definedName>
    <definedName name="外部資料_4917" localSheetId="2">紅綠燈!#REF!</definedName>
    <definedName name="外部資料_4919" localSheetId="2">紅綠燈!#REF!</definedName>
    <definedName name="外部資料_492" localSheetId="7">PKA!#REF!</definedName>
    <definedName name="外部資料_492" localSheetId="8">PKB!#REF!</definedName>
    <definedName name="外部資料_492" localSheetId="9">PKC!#REF!</definedName>
    <definedName name="外部資料_492" localSheetId="2">紅綠燈!#REF!</definedName>
    <definedName name="外部資料_4920" localSheetId="2">紅綠燈!#REF!</definedName>
    <definedName name="外部資料_4921" localSheetId="2">紅綠燈!#REF!</definedName>
    <definedName name="外部資料_4923" localSheetId="2">紅綠燈!#REF!</definedName>
    <definedName name="外部資料_4924" localSheetId="2">紅綠燈!#REF!</definedName>
    <definedName name="外部資料_4925" localSheetId="2">紅綠燈!#REF!</definedName>
    <definedName name="外部資料_4927" localSheetId="2">紅綠燈!#REF!</definedName>
    <definedName name="外部資料_4928" localSheetId="2">紅綠燈!#REF!</definedName>
    <definedName name="外部資料_4929" localSheetId="2">紅綠燈!#REF!</definedName>
    <definedName name="外部資料_493" localSheetId="7">PKA!#REF!</definedName>
    <definedName name="外部資料_493" localSheetId="8">PKB!#REF!</definedName>
    <definedName name="外部資料_493" localSheetId="9">PKC!#REF!</definedName>
    <definedName name="外部資料_4931" localSheetId="2">紅綠燈!#REF!</definedName>
    <definedName name="外部資料_4932" localSheetId="2">紅綠燈!#REF!</definedName>
    <definedName name="外部資料_4933" localSheetId="2">紅綠燈!#REF!</definedName>
    <definedName name="外部資料_4935" localSheetId="2">紅綠燈!#REF!</definedName>
    <definedName name="外部資料_4936" localSheetId="2">紅綠燈!#REF!</definedName>
    <definedName name="外部資料_4937" localSheetId="2">紅綠燈!#REF!</definedName>
    <definedName name="外部資料_4939" localSheetId="2">紅綠燈!#REF!</definedName>
    <definedName name="外部資料_494" localSheetId="7">PKA!#REF!</definedName>
    <definedName name="外部資料_494" localSheetId="8">PKB!#REF!</definedName>
    <definedName name="外部資料_494" localSheetId="9">PKC!#REF!</definedName>
    <definedName name="外部資料_494" localSheetId="2">紅綠燈!#REF!</definedName>
    <definedName name="外部資料_4940" localSheetId="2">紅綠燈!#REF!</definedName>
    <definedName name="外部資料_4941" localSheetId="2">紅綠燈!#REF!</definedName>
    <definedName name="外部資料_4943" localSheetId="2">紅綠燈!#REF!</definedName>
    <definedName name="外部資料_4944" localSheetId="2">紅綠燈!#REF!</definedName>
    <definedName name="外部資料_4945" localSheetId="2">紅綠燈!#REF!</definedName>
    <definedName name="外部資料_4947" localSheetId="2">紅綠燈!#REF!</definedName>
    <definedName name="外部資料_4948" localSheetId="2">紅綠燈!#REF!</definedName>
    <definedName name="外部資料_4949" localSheetId="2">紅綠燈!#REF!</definedName>
    <definedName name="外部資料_495" localSheetId="7">PKA!#REF!</definedName>
    <definedName name="外部資料_495" localSheetId="8">PKB!#REF!</definedName>
    <definedName name="外部資料_495" localSheetId="9">PKC!#REF!</definedName>
    <definedName name="外部資料_495" localSheetId="2">紅綠燈!#REF!</definedName>
    <definedName name="外部資料_4951" localSheetId="2">紅綠燈!#REF!</definedName>
    <definedName name="外部資料_4952" localSheetId="2">紅綠燈!#REF!</definedName>
    <definedName name="外部資料_4953" localSheetId="2">紅綠燈!#REF!</definedName>
    <definedName name="外部資料_4955" localSheetId="2">紅綠燈!#REF!</definedName>
    <definedName name="外部資料_4956" localSheetId="2">紅綠燈!#REF!</definedName>
    <definedName name="外部資料_4957" localSheetId="2">紅綠燈!#REF!</definedName>
    <definedName name="外部資料_4959" localSheetId="2">紅綠燈!#REF!</definedName>
    <definedName name="外部資料_496" localSheetId="7">PKA!#REF!</definedName>
    <definedName name="外部資料_496" localSheetId="8">PKB!#REF!</definedName>
    <definedName name="外部資料_496" localSheetId="9">PKC!#REF!</definedName>
    <definedName name="外部資料_496" localSheetId="2">紅綠燈!#REF!</definedName>
    <definedName name="外部資料_4960" localSheetId="2">紅綠燈!#REF!</definedName>
    <definedName name="外部資料_4961" localSheetId="2">紅綠燈!#REF!</definedName>
    <definedName name="外部資料_4963" localSheetId="2">紅綠燈!#REF!</definedName>
    <definedName name="外部資料_4964" localSheetId="2">紅綠燈!#REF!</definedName>
    <definedName name="外部資料_4965" localSheetId="2">紅綠燈!#REF!</definedName>
    <definedName name="外部資料_4967" localSheetId="2">紅綠燈!#REF!</definedName>
    <definedName name="外部資料_4968" localSheetId="2">紅綠燈!#REF!</definedName>
    <definedName name="外部資料_4969" localSheetId="2">紅綠燈!#REF!</definedName>
    <definedName name="外部資料_497" localSheetId="7">PKA!#REF!</definedName>
    <definedName name="外部資料_497" localSheetId="8">PKB!#REF!</definedName>
    <definedName name="外部資料_497" localSheetId="9">PKC!#REF!</definedName>
    <definedName name="外部資料_4971" localSheetId="2">紅綠燈!#REF!</definedName>
    <definedName name="外部資料_4972" localSheetId="2">紅綠燈!#REF!</definedName>
    <definedName name="外部資料_4973" localSheetId="2">紅綠燈!#REF!</definedName>
    <definedName name="外部資料_4975" localSheetId="2">紅綠燈!#REF!</definedName>
    <definedName name="外部資料_4976" localSheetId="2">紅綠燈!#REF!</definedName>
    <definedName name="外部資料_4977" localSheetId="2">紅綠燈!#REF!</definedName>
    <definedName name="外部資料_4979" localSheetId="2">紅綠燈!#REF!</definedName>
    <definedName name="外部資料_498" localSheetId="7">PKA!#REF!</definedName>
    <definedName name="外部資料_498" localSheetId="8">PKB!#REF!</definedName>
    <definedName name="外部資料_498" localSheetId="9">PKC!#REF!</definedName>
    <definedName name="外部資料_498" localSheetId="2">紅綠燈!#REF!</definedName>
    <definedName name="外部資料_4980" localSheetId="2">紅綠燈!#REF!</definedName>
    <definedName name="外部資料_4981" localSheetId="2">紅綠燈!#REF!</definedName>
    <definedName name="外部資料_4983" localSheetId="2">紅綠燈!#REF!</definedName>
    <definedName name="外部資料_4984" localSheetId="2">紅綠燈!#REF!</definedName>
    <definedName name="外部資料_4985" localSheetId="2">紅綠燈!#REF!</definedName>
    <definedName name="外部資料_4987" localSheetId="2">紅綠燈!#REF!</definedName>
    <definedName name="外部資料_4988" localSheetId="2">紅綠燈!#REF!</definedName>
    <definedName name="外部資料_4989" localSheetId="2">紅綠燈!#REF!</definedName>
    <definedName name="外部資料_499" localSheetId="7">PKA!#REF!</definedName>
    <definedName name="外部資料_499" localSheetId="8">PKB!#REF!</definedName>
    <definedName name="外部資料_499" localSheetId="9">PKC!#REF!</definedName>
    <definedName name="外部資料_499" localSheetId="2">紅綠燈!#REF!</definedName>
    <definedName name="外部資料_4991" localSheetId="2">紅綠燈!#REF!</definedName>
    <definedName name="外部資料_4992" localSheetId="2">紅綠燈!#REF!</definedName>
    <definedName name="外部資料_4993" localSheetId="2">紅綠燈!#REF!</definedName>
    <definedName name="外部資料_4995" localSheetId="2">紅綠燈!#REF!</definedName>
    <definedName name="外部資料_4996" localSheetId="2">紅綠燈!#REF!</definedName>
    <definedName name="外部資料_4997" localSheetId="2">紅綠燈!#REF!</definedName>
    <definedName name="外部資料_4999" localSheetId="2">紅綠燈!#REF!</definedName>
    <definedName name="外部資料_5" localSheetId="7">PKA!#REF!</definedName>
    <definedName name="外部資料_5" localSheetId="8">PKB!#REF!</definedName>
    <definedName name="外部資料_5" localSheetId="9">PKC!#REF!</definedName>
    <definedName name="外部資料_5" localSheetId="13">PSR!#REF!</definedName>
    <definedName name="外部資料_5" localSheetId="2">紅綠燈!#REF!</definedName>
    <definedName name="外部資料_5" localSheetId="3">評比系統!#REF!</definedName>
    <definedName name="外部資料_5" localSheetId="10">福邦!#REF!</definedName>
    <definedName name="外部資料_5" localSheetId="4">篩股系統!#REF!</definedName>
    <definedName name="外部資料_5" localSheetId="11">營收搶先報!#REF!</definedName>
    <definedName name="外部資料_50" localSheetId="7">PKA!#REF!</definedName>
    <definedName name="外部資料_50" localSheetId="8">PKB!#REF!</definedName>
    <definedName name="外部資料_50" localSheetId="9">PKC!#REF!</definedName>
    <definedName name="外部資料_50" localSheetId="13">PSR!#REF!</definedName>
    <definedName name="外部資料_50" localSheetId="3">評比系統!#REF!</definedName>
    <definedName name="外部資料_50" localSheetId="10">福邦!#REF!</definedName>
    <definedName name="外部資料_50" localSheetId="11">營收搶先報!#REF!</definedName>
    <definedName name="外部資料_500" localSheetId="7">PKA!#REF!</definedName>
    <definedName name="外部資料_500" localSheetId="8">PKB!#REF!</definedName>
    <definedName name="外部資料_500" localSheetId="9">PKC!#REF!</definedName>
    <definedName name="外部資料_500" localSheetId="2">紅綠燈!#REF!</definedName>
    <definedName name="外部資料_5000" localSheetId="2">紅綠燈!#REF!</definedName>
    <definedName name="外部資料_5001" localSheetId="2">紅綠燈!#REF!</definedName>
    <definedName name="外部資料_5003" localSheetId="2">紅綠燈!#REF!</definedName>
    <definedName name="外部資料_5004" localSheetId="2">紅綠燈!#REF!</definedName>
    <definedName name="外部資料_5005" localSheetId="2">紅綠燈!#REF!</definedName>
    <definedName name="外部資料_5007" localSheetId="2">紅綠燈!#REF!</definedName>
    <definedName name="外部資料_5008" localSheetId="2">紅綠燈!#REF!</definedName>
    <definedName name="外部資料_5009" localSheetId="2">紅綠燈!#REF!</definedName>
    <definedName name="外部資料_501" localSheetId="7">PKA!#REF!</definedName>
    <definedName name="外部資料_501" localSheetId="8">PKB!#REF!</definedName>
    <definedName name="外部資料_501" localSheetId="9">PKC!#REF!</definedName>
    <definedName name="外部資料_5011" localSheetId="2">紅綠燈!#REF!</definedName>
    <definedName name="外部資料_5012" localSheetId="2">紅綠燈!#REF!</definedName>
    <definedName name="外部資料_5013" localSheetId="2">紅綠燈!#REF!</definedName>
    <definedName name="外部資料_5015" localSheetId="2">紅綠燈!#REF!</definedName>
    <definedName name="外部資料_5016" localSheetId="2">紅綠燈!#REF!</definedName>
    <definedName name="外部資料_5017" localSheetId="2">紅綠燈!#REF!</definedName>
    <definedName name="外部資料_5019" localSheetId="2">紅綠燈!#REF!</definedName>
    <definedName name="外部資料_502" localSheetId="7">PKA!#REF!</definedName>
    <definedName name="外部資料_502" localSheetId="8">PKB!#REF!</definedName>
    <definedName name="外部資料_502" localSheetId="9">PKC!#REF!</definedName>
    <definedName name="外部資料_502" localSheetId="2">紅綠燈!#REF!</definedName>
    <definedName name="外部資料_5020" localSheetId="2">紅綠燈!#REF!</definedName>
    <definedName name="外部資料_5021" localSheetId="2">紅綠燈!#REF!</definedName>
    <definedName name="外部資料_5023" localSheetId="2">紅綠燈!#REF!</definedName>
    <definedName name="外部資料_5024" localSheetId="2">紅綠燈!#REF!</definedName>
    <definedName name="外部資料_5025" localSheetId="2">紅綠燈!#REF!</definedName>
    <definedName name="外部資料_5027" localSheetId="2">紅綠燈!#REF!</definedName>
    <definedName name="外部資料_5028" localSheetId="2">紅綠燈!#REF!</definedName>
    <definedName name="外部資料_5029" localSheetId="2">紅綠燈!#REF!</definedName>
    <definedName name="外部資料_503" localSheetId="7">PKA!#REF!</definedName>
    <definedName name="外部資料_503" localSheetId="8">PKB!#REF!</definedName>
    <definedName name="外部資料_503" localSheetId="9">PKC!#REF!</definedName>
    <definedName name="外部資料_503" localSheetId="2">紅綠燈!#REF!</definedName>
    <definedName name="外部資料_5031" localSheetId="2">紅綠燈!#REF!</definedName>
    <definedName name="外部資料_5032" localSheetId="2">紅綠燈!#REF!</definedName>
    <definedName name="外部資料_5033" localSheetId="2">紅綠燈!#REF!</definedName>
    <definedName name="外部資料_5035" localSheetId="2">紅綠燈!#REF!</definedName>
    <definedName name="外部資料_5036" localSheetId="2">紅綠燈!#REF!</definedName>
    <definedName name="外部資料_5037" localSheetId="2">紅綠燈!#REF!</definedName>
    <definedName name="外部資料_5039" localSheetId="2">紅綠燈!#REF!</definedName>
    <definedName name="外部資料_504" localSheetId="7">PKA!#REF!</definedName>
    <definedName name="外部資料_504" localSheetId="8">PKB!#REF!</definedName>
    <definedName name="外部資料_504" localSheetId="9">PKC!#REF!</definedName>
    <definedName name="外部資料_504" localSheetId="2">紅綠燈!#REF!</definedName>
    <definedName name="外部資料_5040" localSheetId="2">紅綠燈!#REF!</definedName>
    <definedName name="外部資料_5041" localSheetId="2">紅綠燈!#REF!</definedName>
    <definedName name="外部資料_5043" localSheetId="2">紅綠燈!#REF!</definedName>
    <definedName name="外部資料_5044" localSheetId="2">紅綠燈!#REF!</definedName>
    <definedName name="外部資料_5045" localSheetId="2">紅綠燈!#REF!</definedName>
    <definedName name="外部資料_5047" localSheetId="2">紅綠燈!#REF!</definedName>
    <definedName name="外部資料_5048" localSheetId="2">紅綠燈!#REF!</definedName>
    <definedName name="外部資料_5049" localSheetId="2">紅綠燈!#REF!</definedName>
    <definedName name="外部資料_505" localSheetId="7">PKA!#REF!</definedName>
    <definedName name="外部資料_505" localSheetId="8">PKB!#REF!</definedName>
    <definedName name="外部資料_505" localSheetId="9">PKC!#REF!</definedName>
    <definedName name="外部資料_5051" localSheetId="2">紅綠燈!#REF!</definedName>
    <definedName name="外部資料_5052" localSheetId="2">紅綠燈!#REF!</definedName>
    <definedName name="外部資料_5053" localSheetId="2">紅綠燈!#REF!</definedName>
    <definedName name="外部資料_5055" localSheetId="2">紅綠燈!#REF!</definedName>
    <definedName name="外部資料_5056" localSheetId="2">紅綠燈!#REF!</definedName>
    <definedName name="外部資料_5057" localSheetId="2">紅綠燈!#REF!</definedName>
    <definedName name="外部資料_5059" localSheetId="2">紅綠燈!#REF!</definedName>
    <definedName name="外部資料_506" localSheetId="7">PKA!#REF!</definedName>
    <definedName name="外部資料_506" localSheetId="8">PKB!#REF!</definedName>
    <definedName name="外部資料_506" localSheetId="9">PKC!#REF!</definedName>
    <definedName name="外部資料_506" localSheetId="2">紅綠燈!#REF!</definedName>
    <definedName name="外部資料_5060" localSheetId="2">紅綠燈!#REF!</definedName>
    <definedName name="外部資料_5061" localSheetId="2">紅綠燈!#REF!</definedName>
    <definedName name="外部資料_5063" localSheetId="2">紅綠燈!#REF!</definedName>
    <definedName name="外部資料_5064" localSheetId="2">紅綠燈!#REF!</definedName>
    <definedName name="外部資料_5065" localSheetId="2">紅綠燈!#REF!</definedName>
    <definedName name="外部資料_5067" localSheetId="2">紅綠燈!#REF!</definedName>
    <definedName name="外部資料_5068" localSheetId="2">紅綠燈!#REF!</definedName>
    <definedName name="外部資料_5069" localSheetId="2">紅綠燈!#REF!</definedName>
    <definedName name="外部資料_507" localSheetId="7">PKA!#REF!</definedName>
    <definedName name="外部資料_507" localSheetId="8">PKB!#REF!</definedName>
    <definedName name="外部資料_507" localSheetId="9">PKC!#REF!</definedName>
    <definedName name="外部資料_507" localSheetId="2">紅綠燈!#REF!</definedName>
    <definedName name="外部資料_5071" localSheetId="2">紅綠燈!#REF!</definedName>
    <definedName name="外部資料_5072" localSheetId="2">紅綠燈!#REF!</definedName>
    <definedName name="外部資料_5073" localSheetId="2">紅綠燈!#REF!</definedName>
    <definedName name="外部資料_5075" localSheetId="2">紅綠燈!#REF!</definedName>
    <definedName name="外部資料_5076" localSheetId="2">紅綠燈!#REF!</definedName>
    <definedName name="外部資料_5077" localSheetId="2">紅綠燈!#REF!</definedName>
    <definedName name="外部資料_5079" localSheetId="2">紅綠燈!#REF!</definedName>
    <definedName name="外部資料_508" localSheetId="7">PKA!#REF!</definedName>
    <definedName name="外部資料_508" localSheetId="8">PKB!#REF!</definedName>
    <definedName name="外部資料_508" localSheetId="9">PKC!#REF!</definedName>
    <definedName name="外部資料_508" localSheetId="2">紅綠燈!#REF!</definedName>
    <definedName name="外部資料_5080" localSheetId="2">紅綠燈!#REF!</definedName>
    <definedName name="外部資料_5081" localSheetId="2">紅綠燈!#REF!</definedName>
    <definedName name="外部資料_5083" localSheetId="2">紅綠燈!#REF!</definedName>
    <definedName name="外部資料_5084" localSheetId="2">紅綠燈!#REF!</definedName>
    <definedName name="外部資料_5085" localSheetId="2">紅綠燈!#REF!</definedName>
    <definedName name="外部資料_5087" localSheetId="2">紅綠燈!#REF!</definedName>
    <definedName name="外部資料_5088" localSheetId="2">紅綠燈!#REF!</definedName>
    <definedName name="外部資料_5089" localSheetId="2">紅綠燈!#REF!</definedName>
    <definedName name="外部資料_509" localSheetId="7">PKA!#REF!</definedName>
    <definedName name="外部資料_509" localSheetId="8">PKB!#REF!</definedName>
    <definedName name="外部資料_509" localSheetId="9">PKC!#REF!</definedName>
    <definedName name="外部資料_5091" localSheetId="2">紅綠燈!#REF!</definedName>
    <definedName name="外部資料_5092" localSheetId="2">紅綠燈!#REF!</definedName>
    <definedName name="外部資料_5093" localSheetId="2">紅綠燈!#REF!</definedName>
    <definedName name="外部資料_5095" localSheetId="2">紅綠燈!#REF!</definedName>
    <definedName name="外部資料_5096" localSheetId="2">紅綠燈!#REF!</definedName>
    <definedName name="外部資料_5097" localSheetId="2">紅綠燈!#REF!</definedName>
    <definedName name="外部資料_5099" localSheetId="2">紅綠燈!#REF!</definedName>
    <definedName name="外部資料_51" localSheetId="7">PKA!#REF!</definedName>
    <definedName name="外部資料_51" localSheetId="8">PKB!#REF!</definedName>
    <definedName name="外部資料_51" localSheetId="9">PKC!#REF!</definedName>
    <definedName name="外部資料_51" localSheetId="13">PSR!#REF!</definedName>
    <definedName name="外部資料_51" localSheetId="2">紅綠燈!#REF!</definedName>
    <definedName name="外部資料_51" localSheetId="10">福邦!#REF!</definedName>
    <definedName name="外部資料_51" localSheetId="11">營收搶先報!#REF!</definedName>
    <definedName name="外部資料_510" localSheetId="7">PKA!#REF!</definedName>
    <definedName name="外部資料_510" localSheetId="8">PKB!#REF!</definedName>
    <definedName name="外部資料_510" localSheetId="9">PKC!#REF!</definedName>
    <definedName name="外部資料_510" localSheetId="2">紅綠燈!#REF!</definedName>
    <definedName name="外部資料_5100" localSheetId="2">紅綠燈!#REF!</definedName>
    <definedName name="外部資料_5101" localSheetId="2">紅綠燈!#REF!</definedName>
    <definedName name="外部資料_5103" localSheetId="2">紅綠燈!#REF!</definedName>
    <definedName name="外部資料_5104" localSheetId="2">紅綠燈!#REF!</definedName>
    <definedName name="外部資料_5105" localSheetId="2">紅綠燈!#REF!</definedName>
    <definedName name="外部資料_5107" localSheetId="2">紅綠燈!#REF!</definedName>
    <definedName name="外部資料_5108" localSheetId="2">紅綠燈!#REF!</definedName>
    <definedName name="外部資料_5109" localSheetId="2">紅綠燈!#REF!</definedName>
    <definedName name="外部資料_511" localSheetId="7">PKA!#REF!</definedName>
    <definedName name="外部資料_511" localSheetId="8">PKB!#REF!</definedName>
    <definedName name="外部資料_511" localSheetId="9">PKC!#REF!</definedName>
    <definedName name="外部資料_511" localSheetId="2">紅綠燈!#REF!</definedName>
    <definedName name="外部資料_5111" localSheetId="2">紅綠燈!#REF!</definedName>
    <definedName name="外部資料_5112" localSheetId="2">紅綠燈!#REF!</definedName>
    <definedName name="外部資料_5113" localSheetId="2">紅綠燈!#REF!</definedName>
    <definedName name="外部資料_5115" localSheetId="2">紅綠燈!#REF!</definedName>
    <definedName name="外部資料_5116" localSheetId="2">紅綠燈!#REF!</definedName>
    <definedName name="外部資料_5117" localSheetId="2">紅綠燈!#REF!</definedName>
    <definedName name="外部資料_5119" localSheetId="2">紅綠燈!#REF!</definedName>
    <definedName name="外部資料_512" localSheetId="7">PKA!#REF!</definedName>
    <definedName name="外部資料_512" localSheetId="8">PKB!#REF!</definedName>
    <definedName name="外部資料_512" localSheetId="9">PKC!#REF!</definedName>
    <definedName name="外部資料_512" localSheetId="2">紅綠燈!#REF!</definedName>
    <definedName name="外部資料_5120" localSheetId="2">紅綠燈!#REF!</definedName>
    <definedName name="外部資料_5121" localSheetId="2">紅綠燈!#REF!</definedName>
    <definedName name="外部資料_5123" localSheetId="2">紅綠燈!#REF!</definedName>
    <definedName name="外部資料_5124" localSheetId="2">紅綠燈!#REF!</definedName>
    <definedName name="外部資料_5125" localSheetId="2">紅綠燈!#REF!</definedName>
    <definedName name="外部資料_5127" localSheetId="2">紅綠燈!#REF!</definedName>
    <definedName name="外部資料_5128" localSheetId="2">紅綠燈!#REF!</definedName>
    <definedName name="外部資料_5129" localSheetId="2">紅綠燈!#REF!</definedName>
    <definedName name="外部資料_513" localSheetId="7">PKA!#REF!</definedName>
    <definedName name="外部資料_513" localSheetId="8">PKB!#REF!</definedName>
    <definedName name="外部資料_513" localSheetId="9">PKC!#REF!</definedName>
    <definedName name="外部資料_5131" localSheetId="2">紅綠燈!#REF!</definedName>
    <definedName name="外部資料_5132" localSheetId="2">紅綠燈!#REF!</definedName>
    <definedName name="外部資料_5133" localSheetId="2">紅綠燈!#REF!</definedName>
    <definedName name="外部資料_5135" localSheetId="2">紅綠燈!#REF!</definedName>
    <definedName name="外部資料_5136" localSheetId="2">紅綠燈!#REF!</definedName>
    <definedName name="外部資料_5137" localSheetId="2">紅綠燈!#REF!</definedName>
    <definedName name="外部資料_5139" localSheetId="2">紅綠燈!#REF!</definedName>
    <definedName name="外部資料_514" localSheetId="7">PKA!#REF!</definedName>
    <definedName name="外部資料_514" localSheetId="8">PKB!#REF!</definedName>
    <definedName name="外部資料_514" localSheetId="9">PKC!#REF!</definedName>
    <definedName name="外部資料_514" localSheetId="2">紅綠燈!#REF!</definedName>
    <definedName name="外部資料_5140" localSheetId="2">紅綠燈!#REF!</definedName>
    <definedName name="外部資料_5141" localSheetId="2">紅綠燈!#REF!</definedName>
    <definedName name="外部資料_5143" localSheetId="2">紅綠燈!#REF!</definedName>
    <definedName name="外部資料_5144" localSheetId="2">紅綠燈!#REF!</definedName>
    <definedName name="外部資料_5145" localSheetId="2">紅綠燈!#REF!</definedName>
    <definedName name="外部資料_5147" localSheetId="2">紅綠燈!#REF!</definedName>
    <definedName name="外部資料_5148" localSheetId="2">紅綠燈!#REF!</definedName>
    <definedName name="外部資料_5149" localSheetId="2">紅綠燈!#REF!</definedName>
    <definedName name="外部資料_515" localSheetId="7">PKA!#REF!</definedName>
    <definedName name="外部資料_515" localSheetId="8">PKB!#REF!</definedName>
    <definedName name="外部資料_515" localSheetId="9">PKC!#REF!</definedName>
    <definedName name="外部資料_515" localSheetId="2">紅綠燈!#REF!</definedName>
    <definedName name="外部資料_5151" localSheetId="2">紅綠燈!#REF!</definedName>
    <definedName name="外部資料_5152" localSheetId="2">紅綠燈!#REF!</definedName>
    <definedName name="外部資料_5153" localSheetId="2">紅綠燈!#REF!</definedName>
    <definedName name="外部資料_5155" localSheetId="2">紅綠燈!#REF!</definedName>
    <definedName name="外部資料_5156" localSheetId="2">紅綠燈!#REF!</definedName>
    <definedName name="外部資料_5157" localSheetId="2">紅綠燈!#REF!</definedName>
    <definedName name="外部資料_5159" localSheetId="2">紅綠燈!#REF!</definedName>
    <definedName name="外部資料_516" localSheetId="7">PKA!#REF!</definedName>
    <definedName name="外部資料_516" localSheetId="8">PKB!#REF!</definedName>
    <definedName name="外部資料_516" localSheetId="9">PKC!#REF!</definedName>
    <definedName name="外部資料_5160" localSheetId="2">紅綠燈!#REF!</definedName>
    <definedName name="外部資料_5161" localSheetId="2">紅綠燈!#REF!</definedName>
    <definedName name="外部資料_5163" localSheetId="2">紅綠燈!#REF!</definedName>
    <definedName name="外部資料_5164" localSheetId="2">紅綠燈!#REF!</definedName>
    <definedName name="外部資料_5165" localSheetId="2">紅綠燈!#REF!</definedName>
    <definedName name="外部資料_5167" localSheetId="2">紅綠燈!#REF!</definedName>
    <definedName name="外部資料_5168" localSheetId="2">紅綠燈!#REF!</definedName>
    <definedName name="外部資料_5169" localSheetId="2">紅綠燈!#REF!</definedName>
    <definedName name="外部資料_517" localSheetId="7">PKA!#REF!</definedName>
    <definedName name="外部資料_517" localSheetId="8">PKB!#REF!</definedName>
    <definedName name="外部資料_517" localSheetId="9">PKC!#REF!</definedName>
    <definedName name="外部資料_517" localSheetId="2">紅綠燈!#REF!</definedName>
    <definedName name="外部資料_5171" localSheetId="2">紅綠燈!#REF!</definedName>
    <definedName name="外部資料_5172" localSheetId="2">紅綠燈!#REF!</definedName>
    <definedName name="外部資料_5173" localSheetId="2">紅綠燈!#REF!</definedName>
    <definedName name="外部資料_5175" localSheetId="2">紅綠燈!#REF!</definedName>
    <definedName name="外部資料_5176" localSheetId="2">紅綠燈!#REF!</definedName>
    <definedName name="外部資料_5177" localSheetId="2">紅綠燈!#REF!</definedName>
    <definedName name="外部資料_5179" localSheetId="2">紅綠燈!#REF!</definedName>
    <definedName name="外部資料_518" localSheetId="7">PKA!#REF!</definedName>
    <definedName name="外部資料_518" localSheetId="8">PKB!#REF!</definedName>
    <definedName name="外部資料_518" localSheetId="9">PKC!#REF!</definedName>
    <definedName name="外部資料_518" localSheetId="2">紅綠燈!#REF!</definedName>
    <definedName name="外部資料_5180" localSheetId="2">紅綠燈!#REF!</definedName>
    <definedName name="外部資料_5181" localSheetId="2">紅綠燈!#REF!</definedName>
    <definedName name="外部資料_5183" localSheetId="2">紅綠燈!#REF!</definedName>
    <definedName name="外部資料_5184" localSheetId="2">紅綠燈!#REF!</definedName>
    <definedName name="外部資料_5185" localSheetId="2">紅綠燈!#REF!</definedName>
    <definedName name="外部資料_5187" localSheetId="2">紅綠燈!#REF!</definedName>
    <definedName name="外部資料_5188" localSheetId="2">紅綠燈!#REF!</definedName>
    <definedName name="外部資料_5189" localSheetId="2">紅綠燈!#REF!</definedName>
    <definedName name="外部資料_519" localSheetId="7">PKA!#REF!</definedName>
    <definedName name="外部資料_519" localSheetId="8">PKB!#REF!</definedName>
    <definedName name="外部資料_519" localSheetId="9">PKC!#REF!</definedName>
    <definedName name="外部資料_519" localSheetId="2">紅綠燈!#REF!</definedName>
    <definedName name="外部資料_5191" localSheetId="2">紅綠燈!#REF!</definedName>
    <definedName name="外部資料_5192" localSheetId="2">紅綠燈!#REF!</definedName>
    <definedName name="外部資料_5193" localSheetId="2">紅綠燈!#REF!</definedName>
    <definedName name="外部資料_5195" localSheetId="2">紅綠燈!#REF!</definedName>
    <definedName name="外部資料_5196" localSheetId="2">紅綠燈!#REF!</definedName>
    <definedName name="外部資料_5197" localSheetId="2">紅綠燈!#REF!</definedName>
    <definedName name="外部資料_5199" localSheetId="2">紅綠燈!#REF!</definedName>
    <definedName name="外部資料_52" localSheetId="7">PKA!#REF!</definedName>
    <definedName name="外部資料_52" localSheetId="8">PKB!#REF!</definedName>
    <definedName name="外部資料_52" localSheetId="9">PKC!#REF!</definedName>
    <definedName name="外部資料_52" localSheetId="13">PSR!#REF!</definedName>
    <definedName name="外部資料_52" localSheetId="2">紅綠燈!#REF!</definedName>
    <definedName name="外部資料_52" localSheetId="10">福邦!#REF!</definedName>
    <definedName name="外部資料_52" localSheetId="11">營收搶先報!#REF!</definedName>
    <definedName name="外部資料_520" localSheetId="7">PKA!#REF!</definedName>
    <definedName name="外部資料_520" localSheetId="8">PKB!#REF!</definedName>
    <definedName name="外部資料_520" localSheetId="9">PKC!#REF!</definedName>
    <definedName name="外部資料_5200" localSheetId="2">紅綠燈!#REF!</definedName>
    <definedName name="外部資料_5201" localSheetId="2">紅綠燈!#REF!</definedName>
    <definedName name="外部資料_5203" localSheetId="2">紅綠燈!#REF!</definedName>
    <definedName name="外部資料_5204" localSheetId="2">紅綠燈!#REF!</definedName>
    <definedName name="外部資料_5205" localSheetId="2">紅綠燈!#REF!</definedName>
    <definedName name="外部資料_5207" localSheetId="2">紅綠燈!#REF!</definedName>
    <definedName name="外部資料_5208" localSheetId="2">紅綠燈!#REF!</definedName>
    <definedName name="外部資料_5209" localSheetId="2">紅綠燈!#REF!</definedName>
    <definedName name="外部資料_521" localSheetId="7">PKA!#REF!</definedName>
    <definedName name="外部資料_521" localSheetId="8">PKB!#REF!</definedName>
    <definedName name="外部資料_521" localSheetId="9">PKC!#REF!</definedName>
    <definedName name="外部資料_521" localSheetId="2">紅綠燈!#REF!</definedName>
    <definedName name="外部資料_5211" localSheetId="2">紅綠燈!#REF!</definedName>
    <definedName name="外部資料_5212" localSheetId="2">紅綠燈!#REF!</definedName>
    <definedName name="外部資料_5213" localSheetId="2">紅綠燈!#REF!</definedName>
    <definedName name="外部資料_5215" localSheetId="2">紅綠燈!#REF!</definedName>
    <definedName name="外部資料_5216" localSheetId="2">紅綠燈!#REF!</definedName>
    <definedName name="外部資料_5217" localSheetId="2">紅綠燈!#REF!</definedName>
    <definedName name="外部資料_5219" localSheetId="2">紅綠燈!#REF!</definedName>
    <definedName name="外部資料_522" localSheetId="7">PKA!#REF!</definedName>
    <definedName name="外部資料_522" localSheetId="8">PKB!#REF!</definedName>
    <definedName name="外部資料_522" localSheetId="9">PKC!#REF!</definedName>
    <definedName name="外部資料_522" localSheetId="2">紅綠燈!#REF!</definedName>
    <definedName name="外部資料_5220" localSheetId="2">紅綠燈!#REF!</definedName>
    <definedName name="外部資料_5221" localSheetId="2">紅綠燈!#REF!</definedName>
    <definedName name="外部資料_5223" localSheetId="2">紅綠燈!#REF!</definedName>
    <definedName name="外部資料_5224" localSheetId="2">紅綠燈!#REF!</definedName>
    <definedName name="外部資料_5225" localSheetId="2">紅綠燈!#REF!</definedName>
    <definedName name="外部資料_5227" localSheetId="2">紅綠燈!#REF!</definedName>
    <definedName name="外部資料_5228" localSheetId="2">紅綠燈!#REF!</definedName>
    <definedName name="外部資料_5229" localSheetId="2">紅綠燈!#REF!</definedName>
    <definedName name="外部資料_523" localSheetId="7">PKA!#REF!</definedName>
    <definedName name="外部資料_523" localSheetId="8">PKB!#REF!</definedName>
    <definedName name="外部資料_523" localSheetId="9">PKC!#REF!</definedName>
    <definedName name="外部資料_523" localSheetId="2">紅綠燈!#REF!</definedName>
    <definedName name="外部資料_5231" localSheetId="2">紅綠燈!#REF!</definedName>
    <definedName name="外部資料_5232" localSheetId="2">紅綠燈!#REF!</definedName>
    <definedName name="外部資料_5233" localSheetId="2">紅綠燈!#REF!</definedName>
    <definedName name="外部資料_5235" localSheetId="2">紅綠燈!#REF!</definedName>
    <definedName name="外部資料_5236" localSheetId="2">紅綠燈!#REF!</definedName>
    <definedName name="外部資料_5237" localSheetId="2">紅綠燈!#REF!</definedName>
    <definedName name="外部資料_5239" localSheetId="2">紅綠燈!#REF!</definedName>
    <definedName name="外部資料_524" localSheetId="7">PKA!#REF!</definedName>
    <definedName name="外部資料_524" localSheetId="8">PKB!#REF!</definedName>
    <definedName name="外部資料_524" localSheetId="9">PKC!#REF!</definedName>
    <definedName name="外部資料_5240" localSheetId="2">紅綠燈!#REF!</definedName>
    <definedName name="外部資料_5241" localSheetId="2">紅綠燈!#REF!</definedName>
    <definedName name="外部資料_5243" localSheetId="2">紅綠燈!#REF!</definedName>
    <definedName name="外部資料_5244" localSheetId="2">紅綠燈!#REF!</definedName>
    <definedName name="外部資料_5246" localSheetId="2">紅綠燈!#REF!</definedName>
    <definedName name="外部資料_5247" localSheetId="2">紅綠燈!#REF!</definedName>
    <definedName name="外部資料_5248" localSheetId="2">紅綠燈!#REF!</definedName>
    <definedName name="外部資料_525" localSheetId="7">PKA!#REF!</definedName>
    <definedName name="外部資料_525" localSheetId="8">PKB!#REF!</definedName>
    <definedName name="外部資料_525" localSheetId="9">PKC!#REF!</definedName>
    <definedName name="外部資料_525" localSheetId="2">紅綠燈!#REF!</definedName>
    <definedName name="外部資料_5250" localSheetId="2">紅綠燈!#REF!</definedName>
    <definedName name="外部資料_5251" localSheetId="2">紅綠燈!#REF!</definedName>
    <definedName name="外部資料_5252" localSheetId="2">紅綠燈!#REF!</definedName>
    <definedName name="外部資料_5254" localSheetId="2">紅綠燈!#REF!</definedName>
    <definedName name="外部資料_5255" localSheetId="2">紅綠燈!#REF!</definedName>
    <definedName name="外部資料_5256" localSheetId="2">紅綠燈!#REF!</definedName>
    <definedName name="外部資料_5258" localSheetId="2">紅綠燈!#REF!</definedName>
    <definedName name="外部資料_5259" localSheetId="2">紅綠燈!#REF!</definedName>
    <definedName name="外部資料_526" localSheetId="7">PKA!#REF!</definedName>
    <definedName name="外部資料_526" localSheetId="8">PKB!#REF!</definedName>
    <definedName name="外部資料_526" localSheetId="9">PKC!#REF!</definedName>
    <definedName name="外部資料_526" localSheetId="2">紅綠燈!#REF!</definedName>
    <definedName name="外部資料_5260" localSheetId="2">紅綠燈!#REF!</definedName>
    <definedName name="外部資料_5262" localSheetId="2">紅綠燈!#REF!</definedName>
    <definedName name="外部資料_5263" localSheetId="2">紅綠燈!#REF!</definedName>
    <definedName name="外部資料_5264" localSheetId="2">紅綠燈!#REF!</definedName>
    <definedName name="外部資料_5266" localSheetId="2">紅綠燈!#REF!</definedName>
    <definedName name="外部資料_5267" localSheetId="2">紅綠燈!#REF!</definedName>
    <definedName name="外部資料_5268" localSheetId="2">紅綠燈!#REF!</definedName>
    <definedName name="外部資料_527" localSheetId="7">PKA!#REF!</definedName>
    <definedName name="外部資料_527" localSheetId="8">PKB!#REF!</definedName>
    <definedName name="外部資料_527" localSheetId="9">PKC!#REF!</definedName>
    <definedName name="外部資料_5270" localSheetId="2">紅綠燈!#REF!</definedName>
    <definedName name="外部資料_5271" localSheetId="2">紅綠燈!#REF!</definedName>
    <definedName name="外部資料_5272" localSheetId="2">紅綠燈!#REF!</definedName>
    <definedName name="外部資料_5274" localSheetId="2">紅綠燈!#REF!</definedName>
    <definedName name="外部資料_5275" localSheetId="2">紅綠燈!#REF!</definedName>
    <definedName name="外部資料_5276" localSheetId="2">紅綠燈!#REF!</definedName>
    <definedName name="外部資料_5278" localSheetId="2">紅綠燈!#REF!</definedName>
    <definedName name="外部資料_5279" localSheetId="2">紅綠燈!#REF!</definedName>
    <definedName name="外部資料_528" localSheetId="7">PKA!#REF!</definedName>
    <definedName name="外部資料_528" localSheetId="8">PKB!#REF!</definedName>
    <definedName name="外部資料_528" localSheetId="9">PKC!#REF!</definedName>
    <definedName name="外部資料_528" localSheetId="2">紅綠燈!#REF!</definedName>
    <definedName name="外部資料_5280" localSheetId="2">紅綠燈!#REF!</definedName>
    <definedName name="外部資料_5282" localSheetId="2">紅綠燈!#REF!</definedName>
    <definedName name="外部資料_5283" localSheetId="2">紅綠燈!#REF!</definedName>
    <definedName name="外部資料_5284" localSheetId="2">紅綠燈!#REF!</definedName>
    <definedName name="外部資料_5286" localSheetId="2">紅綠燈!#REF!</definedName>
    <definedName name="外部資料_5287" localSheetId="2">紅綠燈!#REF!</definedName>
    <definedName name="外部資料_5288" localSheetId="2">紅綠燈!#REF!</definedName>
    <definedName name="外部資料_529" localSheetId="7">PKA!#REF!</definedName>
    <definedName name="外部資料_529" localSheetId="8">PKB!#REF!</definedName>
    <definedName name="外部資料_529" localSheetId="9">PKC!#REF!</definedName>
    <definedName name="外部資料_529" localSheetId="2">紅綠燈!#REF!</definedName>
    <definedName name="外部資料_5290" localSheetId="2">紅綠燈!#REF!</definedName>
    <definedName name="外部資料_5291" localSheetId="2">紅綠燈!#REF!</definedName>
    <definedName name="外部資料_5292" localSheetId="2">紅綠燈!#REF!</definedName>
    <definedName name="外部資料_5294" localSheetId="2">紅綠燈!#REF!</definedName>
    <definedName name="外部資料_5295" localSheetId="2">紅綠燈!#REF!</definedName>
    <definedName name="外部資料_5296" localSheetId="2">紅綠燈!#REF!</definedName>
    <definedName name="外部資料_5298" localSheetId="2">紅綠燈!#REF!</definedName>
    <definedName name="外部資料_5299" localSheetId="2">紅綠燈!#REF!</definedName>
    <definedName name="外部資料_53" localSheetId="7">PKA!#REF!</definedName>
    <definedName name="外部資料_53" localSheetId="8">PKB!#REF!</definedName>
    <definedName name="外部資料_53" localSheetId="9">PKC!#REF!</definedName>
    <definedName name="外部資料_53" localSheetId="13">PSR!#REF!</definedName>
    <definedName name="外部資料_53" localSheetId="2">紅綠燈!#REF!</definedName>
    <definedName name="外部資料_53" localSheetId="10">福邦!#REF!</definedName>
    <definedName name="外部資料_53" localSheetId="11">營收搶先報!#REF!</definedName>
    <definedName name="外部資料_530" localSheetId="7">PKA!#REF!</definedName>
    <definedName name="外部資料_530" localSheetId="8">PKB!#REF!</definedName>
    <definedName name="外部資料_530" localSheetId="9">PKC!#REF!</definedName>
    <definedName name="外部資料_530" localSheetId="2">紅綠燈!#REF!</definedName>
    <definedName name="外部資料_5300" localSheetId="2">紅綠燈!#REF!</definedName>
    <definedName name="外部資料_5302" localSheetId="2">紅綠燈!#REF!</definedName>
    <definedName name="外部資料_5303" localSheetId="2">紅綠燈!#REF!</definedName>
    <definedName name="外部資料_5304" localSheetId="2">紅綠燈!#REF!</definedName>
    <definedName name="外部資料_5306" localSheetId="2">紅綠燈!#REF!</definedName>
    <definedName name="外部資料_5307" localSheetId="2">紅綠燈!#REF!</definedName>
    <definedName name="外部資料_5308" localSheetId="2">紅綠燈!#REF!</definedName>
    <definedName name="外部資料_531" localSheetId="7">PKA!#REF!</definedName>
    <definedName name="外部資料_531" localSheetId="8">PKB!#REF!</definedName>
    <definedName name="外部資料_531" localSheetId="9">PKC!#REF!</definedName>
    <definedName name="外部資料_5310" localSheetId="2">紅綠燈!#REF!</definedName>
    <definedName name="外部資料_5311" localSheetId="2">紅綠燈!#REF!</definedName>
    <definedName name="外部資料_5312" localSheetId="2">紅綠燈!#REF!</definedName>
    <definedName name="外部資料_5314" localSheetId="2">紅綠燈!#REF!</definedName>
    <definedName name="外部資料_5315" localSheetId="2">紅綠燈!#REF!</definedName>
    <definedName name="外部資料_5316" localSheetId="2">紅綠燈!#REF!</definedName>
    <definedName name="外部資料_5318" localSheetId="2">紅綠燈!#REF!</definedName>
    <definedName name="外部資料_5319" localSheetId="2">紅綠燈!#REF!</definedName>
    <definedName name="外部資料_532" localSheetId="7">PKA!#REF!</definedName>
    <definedName name="外部資料_532" localSheetId="8">PKB!#REF!</definedName>
    <definedName name="外部資料_532" localSheetId="9">PKC!#REF!</definedName>
    <definedName name="外部資料_532" localSheetId="2">紅綠燈!#REF!</definedName>
    <definedName name="外部資料_5320" localSheetId="2">紅綠燈!#REF!</definedName>
    <definedName name="外部資料_5322" localSheetId="2">紅綠燈!#REF!</definedName>
    <definedName name="外部資料_5323" localSheetId="2">紅綠燈!#REF!</definedName>
    <definedName name="外部資料_5324" localSheetId="2">紅綠燈!#REF!</definedName>
    <definedName name="外部資料_5326" localSheetId="2">紅綠燈!#REF!</definedName>
    <definedName name="外部資料_5327" localSheetId="2">紅綠燈!#REF!</definedName>
    <definedName name="外部資料_5328" localSheetId="2">紅綠燈!#REF!</definedName>
    <definedName name="外部資料_533" localSheetId="7">PKA!#REF!</definedName>
    <definedName name="外部資料_533" localSheetId="8">PKB!#REF!</definedName>
    <definedName name="外部資料_533" localSheetId="9">PKC!#REF!</definedName>
    <definedName name="外部資料_533" localSheetId="2">紅綠燈!#REF!</definedName>
    <definedName name="外部資料_5330" localSheetId="2">紅綠燈!#REF!</definedName>
    <definedName name="外部資料_5331" localSheetId="2">紅綠燈!#REF!</definedName>
    <definedName name="外部資料_5332" localSheetId="2">紅綠燈!#REF!</definedName>
    <definedName name="外部資料_5334" localSheetId="2">紅綠燈!#REF!</definedName>
    <definedName name="外部資料_5335" localSheetId="2">紅綠燈!#REF!</definedName>
    <definedName name="外部資料_5336" localSheetId="2">紅綠燈!#REF!</definedName>
    <definedName name="外部資料_5338" localSheetId="2">紅綠燈!#REF!</definedName>
    <definedName name="外部資料_5339" localSheetId="2">紅綠燈!#REF!</definedName>
    <definedName name="外部資料_534" localSheetId="7">PKA!#REF!</definedName>
    <definedName name="外部資料_534" localSheetId="8">PKB!#REF!</definedName>
    <definedName name="外部資料_534" localSheetId="9">PKC!#REF!</definedName>
    <definedName name="外部資料_534" localSheetId="2">紅綠燈!#REF!</definedName>
    <definedName name="外部資料_5340" localSheetId="2">紅綠燈!#REF!</definedName>
    <definedName name="外部資料_5342" localSheetId="2">紅綠燈!#REF!</definedName>
    <definedName name="外部資料_5343" localSheetId="2">紅綠燈!#REF!</definedName>
    <definedName name="外部資料_5344" localSheetId="2">紅綠燈!#REF!</definedName>
    <definedName name="外部資料_5346" localSheetId="2">紅綠燈!#REF!</definedName>
    <definedName name="外部資料_5347" localSheetId="2">紅綠燈!#REF!</definedName>
    <definedName name="外部資料_5348" localSheetId="2">紅綠燈!#REF!</definedName>
    <definedName name="外部資料_535" localSheetId="7">PKA!#REF!</definedName>
    <definedName name="外部資料_535" localSheetId="8">PKB!#REF!</definedName>
    <definedName name="外部資料_535" localSheetId="9">PKC!#REF!</definedName>
    <definedName name="外部資料_5350" localSheetId="2">紅綠燈!#REF!</definedName>
    <definedName name="外部資料_5351" localSheetId="2">紅綠燈!#REF!</definedName>
    <definedName name="外部資料_5352" localSheetId="2">紅綠燈!#REF!</definedName>
    <definedName name="外部資料_5354" localSheetId="2">紅綠燈!#REF!</definedName>
    <definedName name="外部資料_5355" localSheetId="2">紅綠燈!#REF!</definedName>
    <definedName name="外部資料_5356" localSheetId="2">紅綠燈!#REF!</definedName>
    <definedName name="外部資料_5358" localSheetId="2">紅綠燈!#REF!</definedName>
    <definedName name="外部資料_5359" localSheetId="2">紅綠燈!#REF!</definedName>
    <definedName name="外部資料_536" localSheetId="7">PKA!#REF!</definedName>
    <definedName name="外部資料_536" localSheetId="8">PKB!#REF!</definedName>
    <definedName name="外部資料_536" localSheetId="9">PKC!#REF!</definedName>
    <definedName name="外部資料_536" localSheetId="2">紅綠燈!#REF!</definedName>
    <definedName name="外部資料_5360" localSheetId="2">紅綠燈!#REF!</definedName>
    <definedName name="外部資料_5362" localSheetId="2">紅綠燈!#REF!</definedName>
    <definedName name="外部資料_5363" localSheetId="2">紅綠燈!#REF!</definedName>
    <definedName name="外部資料_5364" localSheetId="2">紅綠燈!#REF!</definedName>
    <definedName name="外部資料_5366" localSheetId="2">紅綠燈!#REF!</definedName>
    <definedName name="外部資料_5367" localSheetId="2">紅綠燈!#REF!</definedName>
    <definedName name="外部資料_5368" localSheetId="2">紅綠燈!#REF!</definedName>
    <definedName name="外部資料_537" localSheetId="7">PKA!#REF!</definedName>
    <definedName name="外部資料_537" localSheetId="8">PKB!#REF!</definedName>
    <definedName name="外部資料_537" localSheetId="9">PKC!#REF!</definedName>
    <definedName name="外部資料_537" localSheetId="2">紅綠燈!#REF!</definedName>
    <definedName name="外部資料_5370" localSheetId="2">紅綠燈!#REF!</definedName>
    <definedName name="外部資料_5371" localSheetId="2">紅綠燈!#REF!</definedName>
    <definedName name="外部資料_5372" localSheetId="2">紅綠燈!#REF!</definedName>
    <definedName name="外部資料_5374" localSheetId="2">紅綠燈!#REF!</definedName>
    <definedName name="外部資料_5375" localSheetId="2">紅綠燈!#REF!</definedName>
    <definedName name="外部資料_5376" localSheetId="2">紅綠燈!#REF!</definedName>
    <definedName name="外部資料_5378" localSheetId="2">紅綠燈!#REF!</definedName>
    <definedName name="外部資料_5379" localSheetId="2">紅綠燈!#REF!</definedName>
    <definedName name="外部資料_538" localSheetId="7">PKA!#REF!</definedName>
    <definedName name="外部資料_538" localSheetId="8">PKB!#REF!</definedName>
    <definedName name="外部資料_538" localSheetId="9">PKC!#REF!</definedName>
    <definedName name="外部資料_538" localSheetId="2">紅綠燈!#REF!</definedName>
    <definedName name="外部資料_5380" localSheetId="2">紅綠燈!#REF!</definedName>
    <definedName name="外部資料_5382" localSheetId="2">紅綠燈!#REF!</definedName>
    <definedName name="外部資料_5383" localSheetId="2">紅綠燈!#REF!</definedName>
    <definedName name="外部資料_5384" localSheetId="2">紅綠燈!#REF!</definedName>
    <definedName name="外部資料_5386" localSheetId="2">紅綠燈!#REF!</definedName>
    <definedName name="外部資料_5387" localSheetId="2">紅綠燈!#REF!</definedName>
    <definedName name="外部資料_5388" localSheetId="2">紅綠燈!#REF!</definedName>
    <definedName name="外部資料_539" localSheetId="7">PKA!#REF!</definedName>
    <definedName name="外部資料_539" localSheetId="8">PKB!#REF!</definedName>
    <definedName name="外部資料_539" localSheetId="9">PKC!#REF!</definedName>
    <definedName name="外部資料_5390" localSheetId="2">紅綠燈!#REF!</definedName>
    <definedName name="外部資料_5391" localSheetId="2">紅綠燈!#REF!</definedName>
    <definedName name="外部資料_5392" localSheetId="2">紅綠燈!#REF!</definedName>
    <definedName name="外部資料_5394" localSheetId="2">紅綠燈!#REF!</definedName>
    <definedName name="外部資料_5395" localSheetId="2">紅綠燈!#REF!</definedName>
    <definedName name="外部資料_5396" localSheetId="2">紅綠燈!#REF!</definedName>
    <definedName name="外部資料_5398" localSheetId="2">紅綠燈!#REF!</definedName>
    <definedName name="外部資料_5399" localSheetId="2">紅綠燈!#REF!</definedName>
    <definedName name="外部資料_54" localSheetId="7">PKA!#REF!</definedName>
    <definedName name="外部資料_54" localSheetId="8">PKB!#REF!</definedName>
    <definedName name="外部資料_54" localSheetId="9">PKC!#REF!</definedName>
    <definedName name="外部資料_54" localSheetId="13">PSR!#REF!</definedName>
    <definedName name="外部資料_54" localSheetId="2">紅綠燈!#REF!</definedName>
    <definedName name="外部資料_54" localSheetId="10">福邦!#REF!</definedName>
    <definedName name="外部資料_540" localSheetId="7">PKA!#REF!</definedName>
    <definedName name="外部資料_540" localSheetId="8">PKB!#REF!</definedName>
    <definedName name="外部資料_540" localSheetId="9">PKC!#REF!</definedName>
    <definedName name="外部資料_540" localSheetId="2">紅綠燈!#REF!</definedName>
    <definedName name="外部資料_5400" localSheetId="2">紅綠燈!#REF!</definedName>
    <definedName name="外部資料_5402" localSheetId="2">紅綠燈!#REF!</definedName>
    <definedName name="外部資料_5403" localSheetId="2">紅綠燈!#REF!</definedName>
    <definedName name="外部資料_5404" localSheetId="2">紅綠燈!#REF!</definedName>
    <definedName name="外部資料_5406" localSheetId="2">紅綠燈!#REF!</definedName>
    <definedName name="外部資料_5407" localSheetId="2">紅綠燈!#REF!</definedName>
    <definedName name="外部資料_5408" localSheetId="2">紅綠燈!#REF!</definedName>
    <definedName name="外部資料_541" localSheetId="7">PKA!#REF!</definedName>
    <definedName name="外部資料_541" localSheetId="8">PKB!#REF!</definedName>
    <definedName name="外部資料_541" localSheetId="9">PKC!#REF!</definedName>
    <definedName name="外部資料_541" localSheetId="2">紅綠燈!#REF!</definedName>
    <definedName name="外部資料_5410" localSheetId="2">紅綠燈!#REF!</definedName>
    <definedName name="外部資料_5411" localSheetId="2">紅綠燈!#REF!</definedName>
    <definedName name="外部資料_5412" localSheetId="2">紅綠燈!#REF!</definedName>
    <definedName name="外部資料_5414" localSheetId="2">紅綠燈!#REF!</definedName>
    <definedName name="外部資料_5415" localSheetId="2">紅綠燈!#REF!</definedName>
    <definedName name="外部資料_5416" localSheetId="2">紅綠燈!#REF!</definedName>
    <definedName name="外部資料_5418" localSheetId="2">紅綠燈!#REF!</definedName>
    <definedName name="外部資料_5419" localSheetId="2">紅綠燈!#REF!</definedName>
    <definedName name="外部資料_542" localSheetId="7">PKA!#REF!</definedName>
    <definedName name="外部資料_542" localSheetId="8">PKB!#REF!</definedName>
    <definedName name="外部資料_542" localSheetId="9">PKC!#REF!</definedName>
    <definedName name="外部資料_542" localSheetId="2">紅綠燈!#REF!</definedName>
    <definedName name="外部資料_5420" localSheetId="2">紅綠燈!#REF!</definedName>
    <definedName name="外部資料_5422" localSheetId="2">紅綠燈!#REF!</definedName>
    <definedName name="外部資料_5423" localSheetId="2">紅綠燈!#REF!</definedName>
    <definedName name="外部資料_5425" localSheetId="2">紅綠燈!#REF!</definedName>
    <definedName name="外部資料_5426" localSheetId="2">紅綠燈!#REF!</definedName>
    <definedName name="外部資料_5428" localSheetId="2">紅綠燈!#REF!</definedName>
    <definedName name="外部資料_5429" localSheetId="2">紅綠燈!#REF!</definedName>
    <definedName name="外部資料_543" localSheetId="7">PKA!#REF!</definedName>
    <definedName name="外部資料_543" localSheetId="8">PKB!#REF!</definedName>
    <definedName name="外部資料_543" localSheetId="9">PKC!#REF!</definedName>
    <definedName name="外部資料_5430" localSheetId="2">紅綠燈!#REF!</definedName>
    <definedName name="外部資料_5432" localSheetId="2">紅綠燈!#REF!</definedName>
    <definedName name="外部資料_5433" localSheetId="2">紅綠燈!#REF!</definedName>
    <definedName name="外部資料_5434" localSheetId="2">紅綠燈!#REF!</definedName>
    <definedName name="外部資料_5436" localSheetId="2">紅綠燈!#REF!</definedName>
    <definedName name="外部資料_5437" localSheetId="2">紅綠燈!#REF!</definedName>
    <definedName name="外部資料_5438" localSheetId="2">紅綠燈!#REF!</definedName>
    <definedName name="外部資料_544" localSheetId="7">PKA!#REF!</definedName>
    <definedName name="外部資料_544" localSheetId="8">PKB!#REF!</definedName>
    <definedName name="外部資料_544" localSheetId="9">PKC!#REF!</definedName>
    <definedName name="外部資料_544" localSheetId="2">紅綠燈!#REF!</definedName>
    <definedName name="外部資料_5440" localSheetId="2">紅綠燈!#REF!</definedName>
    <definedName name="外部資料_5441" localSheetId="2">紅綠燈!#REF!</definedName>
    <definedName name="外部資料_5442" localSheetId="2">紅綠燈!#REF!</definedName>
    <definedName name="外部資料_5444" localSheetId="2">紅綠燈!#REF!</definedName>
    <definedName name="外部資料_5445" localSheetId="2">紅綠燈!#REF!</definedName>
    <definedName name="外部資料_5446" localSheetId="2">紅綠燈!#REF!</definedName>
    <definedName name="外部資料_5448" localSheetId="2">紅綠燈!#REF!</definedName>
    <definedName name="外部資料_5449" localSheetId="2">紅綠燈!#REF!</definedName>
    <definedName name="外部資料_545" localSheetId="7">PKA!#REF!</definedName>
    <definedName name="外部資料_545" localSheetId="8">PKB!#REF!</definedName>
    <definedName name="外部資料_545" localSheetId="9">PKC!#REF!</definedName>
    <definedName name="外部資料_545" localSheetId="2">紅綠燈!#REF!</definedName>
    <definedName name="外部資料_5450" localSheetId="2">紅綠燈!#REF!</definedName>
    <definedName name="外部資料_5452" localSheetId="2">紅綠燈!#REF!</definedName>
    <definedName name="外部資料_5453" localSheetId="2">紅綠燈!#REF!</definedName>
    <definedName name="外部資料_5454" localSheetId="2">紅綠燈!#REF!</definedName>
    <definedName name="外部資料_5456" localSheetId="2">紅綠燈!#REF!</definedName>
    <definedName name="外部資料_5457" localSheetId="2">紅綠燈!#REF!</definedName>
    <definedName name="外部資料_5458" localSheetId="2">紅綠燈!#REF!</definedName>
    <definedName name="外部資料_546" localSheetId="7">PKA!#REF!</definedName>
    <definedName name="外部資料_546" localSheetId="8">PKB!#REF!</definedName>
    <definedName name="外部資料_546" localSheetId="9">PKC!#REF!</definedName>
    <definedName name="外部資料_546" localSheetId="2">紅綠燈!#REF!</definedName>
    <definedName name="外部資料_5460" localSheetId="2">紅綠燈!#REF!</definedName>
    <definedName name="外部資料_5461" localSheetId="2">紅綠燈!#REF!</definedName>
    <definedName name="外部資料_5462" localSheetId="2">紅綠燈!#REF!</definedName>
    <definedName name="外部資料_5464" localSheetId="2">紅綠燈!#REF!</definedName>
    <definedName name="外部資料_5465" localSheetId="2">紅綠燈!#REF!</definedName>
    <definedName name="外部資料_5466" localSheetId="2">紅綠燈!#REF!</definedName>
    <definedName name="外部資料_5468" localSheetId="2">紅綠燈!#REF!</definedName>
    <definedName name="外部資料_5469" localSheetId="2">紅綠燈!#REF!</definedName>
    <definedName name="外部資料_547" localSheetId="7">PKA!#REF!</definedName>
    <definedName name="外部資料_547" localSheetId="8">PKB!#REF!</definedName>
    <definedName name="外部資料_547" localSheetId="9">PKC!#REF!</definedName>
    <definedName name="外部資料_5470" localSheetId="2">紅綠燈!#REF!</definedName>
    <definedName name="外部資料_5472" localSheetId="2">紅綠燈!#REF!</definedName>
    <definedName name="外部資料_5473" localSheetId="2">紅綠燈!#REF!</definedName>
    <definedName name="外部資料_5474" localSheetId="2">紅綠燈!#REF!</definedName>
    <definedName name="外部資料_5476" localSheetId="2">紅綠燈!#REF!</definedName>
    <definedName name="外部資料_5477" localSheetId="2">紅綠燈!#REF!</definedName>
    <definedName name="外部資料_5478" localSheetId="2">紅綠燈!#REF!</definedName>
    <definedName name="外部資料_548" localSheetId="7">PKA!#REF!</definedName>
    <definedName name="外部資料_548" localSheetId="8">PKB!#REF!</definedName>
    <definedName name="外部資料_548" localSheetId="9">PKC!#REF!</definedName>
    <definedName name="外部資料_548" localSheetId="2">紅綠燈!#REF!</definedName>
    <definedName name="外部資料_5480" localSheetId="2">紅綠燈!#REF!</definedName>
    <definedName name="外部資料_5481" localSheetId="2">紅綠燈!#REF!</definedName>
    <definedName name="外部資料_5482" localSheetId="2">紅綠燈!#REF!</definedName>
    <definedName name="外部資料_5484" localSheetId="2">紅綠燈!#REF!</definedName>
    <definedName name="外部資料_5485" localSheetId="2">紅綠燈!#REF!</definedName>
    <definedName name="外部資料_5486" localSheetId="2">紅綠燈!#REF!</definedName>
    <definedName name="外部資料_5488" localSheetId="2">紅綠燈!#REF!</definedName>
    <definedName name="外部資料_5489" localSheetId="2">紅綠燈!#REF!</definedName>
    <definedName name="外部資料_549" localSheetId="7">PKA!#REF!</definedName>
    <definedName name="外部資料_549" localSheetId="8">PKB!#REF!</definedName>
    <definedName name="外部資料_549" localSheetId="9">PKC!#REF!</definedName>
    <definedName name="外部資料_549" localSheetId="2">紅綠燈!#REF!</definedName>
    <definedName name="外部資料_5491" localSheetId="2">紅綠燈!#REF!</definedName>
    <definedName name="外部資料_5492" localSheetId="2">紅綠燈!#REF!</definedName>
    <definedName name="外部資料_5493" localSheetId="2">紅綠燈!#REF!</definedName>
    <definedName name="外部資料_5495" localSheetId="2">紅綠燈!#REF!</definedName>
    <definedName name="外部資料_5496" localSheetId="2">紅綠燈!#REF!</definedName>
    <definedName name="外部資料_5497" localSheetId="2">紅綠燈!#REF!</definedName>
    <definedName name="外部資料_5499" localSheetId="2">紅綠燈!#REF!</definedName>
    <definedName name="外部資料_55" localSheetId="7">PKA!#REF!</definedName>
    <definedName name="外部資料_55" localSheetId="8">PKB!#REF!</definedName>
    <definedName name="外部資料_55" localSheetId="9">PKC!#REF!</definedName>
    <definedName name="外部資料_55" localSheetId="13">PSR!#REF!</definedName>
    <definedName name="外部資料_55" localSheetId="2">紅綠燈!#REF!</definedName>
    <definedName name="外部資料_55" localSheetId="10">福邦!#REF!</definedName>
    <definedName name="外部資料_550" localSheetId="7">PKA!#REF!</definedName>
    <definedName name="外部資料_550" localSheetId="8">PKB!#REF!</definedName>
    <definedName name="外部資料_550" localSheetId="9">PKC!#REF!</definedName>
    <definedName name="外部資料_550" localSheetId="2">紅綠燈!#REF!</definedName>
    <definedName name="外部資料_5500" localSheetId="2">紅綠燈!#REF!</definedName>
    <definedName name="外部資料_5501" localSheetId="2">紅綠燈!#REF!</definedName>
    <definedName name="外部資料_5503" localSheetId="2">紅綠燈!#REF!</definedName>
    <definedName name="外部資料_5504" localSheetId="2">紅綠燈!#REF!</definedName>
    <definedName name="外部資料_5505" localSheetId="2">紅綠燈!#REF!</definedName>
    <definedName name="外部資料_5507" localSheetId="2">紅綠燈!#REF!</definedName>
    <definedName name="外部資料_5508" localSheetId="2">紅綠燈!#REF!</definedName>
    <definedName name="外部資料_5509" localSheetId="2">紅綠燈!#REF!</definedName>
    <definedName name="外部資料_551" localSheetId="7">PKA!#REF!</definedName>
    <definedName name="外部資料_551" localSheetId="8">PKB!#REF!</definedName>
    <definedName name="外部資料_551" localSheetId="9">PKC!#REF!</definedName>
    <definedName name="外部資料_5511" localSheetId="2">紅綠燈!#REF!</definedName>
    <definedName name="外部資料_5512" localSheetId="2">紅綠燈!#REF!</definedName>
    <definedName name="外部資料_5514" localSheetId="2">紅綠燈!#REF!</definedName>
    <definedName name="外部資料_5515" localSheetId="2">紅綠燈!#REF!</definedName>
    <definedName name="外部資料_5516" localSheetId="2">紅綠燈!#REF!</definedName>
    <definedName name="外部資料_5518" localSheetId="2">紅綠燈!#REF!</definedName>
    <definedName name="外部資料_5519" localSheetId="2">紅綠燈!#REF!</definedName>
    <definedName name="外部資料_552" localSheetId="7">PKA!#REF!</definedName>
    <definedName name="外部資料_552" localSheetId="8">PKB!#REF!</definedName>
    <definedName name="外部資料_552" localSheetId="9">PKC!#REF!</definedName>
    <definedName name="外部資料_552" localSheetId="2">紅綠燈!#REF!</definedName>
    <definedName name="外部資料_5520" localSheetId="2">紅綠燈!#REF!</definedName>
    <definedName name="外部資料_5522" localSheetId="2">紅綠燈!#REF!</definedName>
    <definedName name="外部資料_5523" localSheetId="2">紅綠燈!#REF!</definedName>
    <definedName name="外部資料_5524" localSheetId="2">紅綠燈!#REF!</definedName>
    <definedName name="外部資料_5526" localSheetId="2">紅綠燈!#REF!</definedName>
    <definedName name="外部資料_5527" localSheetId="2">紅綠燈!#REF!</definedName>
    <definedName name="外部資料_5528" localSheetId="2">紅綠燈!#REF!</definedName>
    <definedName name="外部資料_553" localSheetId="7">PKA!#REF!</definedName>
    <definedName name="外部資料_553" localSheetId="8">PKB!#REF!</definedName>
    <definedName name="外部資料_553" localSheetId="9">PKC!#REF!</definedName>
    <definedName name="外部資料_553" localSheetId="2">紅綠燈!#REF!</definedName>
    <definedName name="外部資料_5530" localSheetId="2">紅綠燈!#REF!</definedName>
    <definedName name="外部資料_5531" localSheetId="2">紅綠燈!#REF!</definedName>
    <definedName name="外部資料_5532" localSheetId="2">紅綠燈!#REF!</definedName>
    <definedName name="外部資料_5534" localSheetId="2">紅綠燈!#REF!</definedName>
    <definedName name="外部資料_5535" localSheetId="2">紅綠燈!#REF!</definedName>
    <definedName name="外部資料_5536" localSheetId="2">紅綠燈!#REF!</definedName>
    <definedName name="外部資料_5538" localSheetId="2">紅綠燈!#REF!</definedName>
    <definedName name="外部資料_5539" localSheetId="2">紅綠燈!#REF!</definedName>
    <definedName name="外部資料_554" localSheetId="7">PKA!#REF!</definedName>
    <definedName name="外部資料_554" localSheetId="8">PKB!#REF!</definedName>
    <definedName name="外部資料_554" localSheetId="9">PKC!#REF!</definedName>
    <definedName name="外部資料_554" localSheetId="2">紅綠燈!#REF!</definedName>
    <definedName name="外部資料_5540" localSheetId="2">紅綠燈!#REF!</definedName>
    <definedName name="外部資料_5542" localSheetId="2">紅綠燈!#REF!</definedName>
    <definedName name="外部資料_5543" localSheetId="2">紅綠燈!#REF!</definedName>
    <definedName name="外部資料_5544" localSheetId="2">紅綠燈!#REF!</definedName>
    <definedName name="外部資料_5546" localSheetId="2">紅綠燈!#REF!</definedName>
    <definedName name="外部資料_5547" localSheetId="2">紅綠燈!#REF!</definedName>
    <definedName name="外部資料_5548" localSheetId="2">紅綠燈!#REF!</definedName>
    <definedName name="外部資料_555" localSheetId="7">PKA!#REF!</definedName>
    <definedName name="外部資料_555" localSheetId="8">PKB!#REF!</definedName>
    <definedName name="外部資料_555" localSheetId="9">PKC!#REF!</definedName>
    <definedName name="外部資料_5550" localSheetId="2">紅綠燈!#REF!</definedName>
    <definedName name="外部資料_5551" localSheetId="2">紅綠燈!#REF!</definedName>
    <definedName name="外部資料_5552" localSheetId="2">紅綠燈!#REF!</definedName>
    <definedName name="外部資料_5554" localSheetId="2">紅綠燈!#REF!</definedName>
    <definedName name="外部資料_5555" localSheetId="2">紅綠燈!#REF!</definedName>
    <definedName name="外部資料_5556" localSheetId="2">紅綠燈!#REF!</definedName>
    <definedName name="外部資料_5558" localSheetId="2">紅綠燈!#REF!</definedName>
    <definedName name="外部資料_5559" localSheetId="2">紅綠燈!#REF!</definedName>
    <definedName name="外部資料_556" localSheetId="7">PKA!#REF!</definedName>
    <definedName name="外部資料_556" localSheetId="8">PKB!#REF!</definedName>
    <definedName name="外部資料_556" localSheetId="9">PKC!#REF!</definedName>
    <definedName name="外部資料_556" localSheetId="2">紅綠燈!#REF!</definedName>
    <definedName name="外部資料_5560" localSheetId="2">紅綠燈!#REF!</definedName>
    <definedName name="外部資料_5562" localSheetId="2">紅綠燈!#REF!</definedName>
    <definedName name="外部資料_5563" localSheetId="2">紅綠燈!#REF!</definedName>
    <definedName name="外部資料_5564" localSheetId="2">紅綠燈!#REF!</definedName>
    <definedName name="外部資料_5566" localSheetId="2">紅綠燈!#REF!</definedName>
    <definedName name="外部資料_5567" localSheetId="2">紅綠燈!#REF!</definedName>
    <definedName name="外部資料_5568" localSheetId="2">紅綠燈!#REF!</definedName>
    <definedName name="外部資料_557" localSheetId="7">PKA!#REF!</definedName>
    <definedName name="外部資料_557" localSheetId="8">PKB!#REF!</definedName>
    <definedName name="外部資料_557" localSheetId="9">PKC!#REF!</definedName>
    <definedName name="外部資料_557" localSheetId="2">紅綠燈!#REF!</definedName>
    <definedName name="外部資料_5570" localSheetId="2">紅綠燈!#REF!</definedName>
    <definedName name="外部資料_5571" localSheetId="2">紅綠燈!#REF!</definedName>
    <definedName name="外部資料_5572" localSheetId="2">紅綠燈!#REF!</definedName>
    <definedName name="外部資料_5574" localSheetId="2">紅綠燈!#REF!</definedName>
    <definedName name="外部資料_5575" localSheetId="2">紅綠燈!#REF!</definedName>
    <definedName name="外部資料_5576" localSheetId="2">紅綠燈!#REF!</definedName>
    <definedName name="外部資料_5578" localSheetId="2">紅綠燈!#REF!</definedName>
    <definedName name="外部資料_5579" localSheetId="2">紅綠燈!#REF!</definedName>
    <definedName name="外部資料_558" localSheetId="7">PKA!#REF!</definedName>
    <definedName name="外部資料_558" localSheetId="8">PKB!#REF!</definedName>
    <definedName name="外部資料_558" localSheetId="9">PKC!#REF!</definedName>
    <definedName name="外部資料_558" localSheetId="2">紅綠燈!#REF!</definedName>
    <definedName name="外部資料_5580" localSheetId="2">紅綠燈!#REF!</definedName>
    <definedName name="外部資料_5582" localSheetId="2">紅綠燈!#REF!</definedName>
    <definedName name="外部資料_5583" localSheetId="2">紅綠燈!#REF!</definedName>
    <definedName name="外部資料_5584" localSheetId="2">紅綠燈!#REF!</definedName>
    <definedName name="外部資料_5586" localSheetId="2">紅綠燈!#REF!</definedName>
    <definedName name="外部資料_5587" localSheetId="2">紅綠燈!#REF!</definedName>
    <definedName name="外部資料_5588" localSheetId="2">紅綠燈!#REF!</definedName>
    <definedName name="外部資料_559" localSheetId="7">PKA!#REF!</definedName>
    <definedName name="外部資料_559" localSheetId="8">PKB!#REF!</definedName>
    <definedName name="外部資料_559" localSheetId="9">PKC!#REF!</definedName>
    <definedName name="外部資料_5590" localSheetId="2">紅綠燈!#REF!</definedName>
    <definedName name="外部資料_5591" localSheetId="2">紅綠燈!#REF!</definedName>
    <definedName name="外部資料_5592" localSheetId="2">紅綠燈!#REF!</definedName>
    <definedName name="外部資料_5594" localSheetId="2">紅綠燈!#REF!</definedName>
    <definedName name="外部資料_5595" localSheetId="2">紅綠燈!#REF!</definedName>
    <definedName name="外部資料_5596" localSheetId="2">紅綠燈!#REF!</definedName>
    <definedName name="外部資料_5598" localSheetId="2">紅綠燈!#REF!</definedName>
    <definedName name="外部資料_5599" localSheetId="2">紅綠燈!#REF!</definedName>
    <definedName name="外部資料_56" localSheetId="7">PKA!#REF!</definedName>
    <definedName name="外部資料_56" localSheetId="8">PKB!#REF!</definedName>
    <definedName name="外部資料_56" localSheetId="9">PKC!#REF!</definedName>
    <definedName name="外部資料_56" localSheetId="13">PSR!#REF!</definedName>
    <definedName name="外部資料_56" localSheetId="2">紅綠燈!#REF!</definedName>
    <definedName name="外部資料_56" localSheetId="10">福邦!#REF!</definedName>
    <definedName name="外部資料_560" localSheetId="7">PKA!#REF!</definedName>
    <definedName name="外部資料_560" localSheetId="8">PKB!#REF!</definedName>
    <definedName name="外部資料_560" localSheetId="9">PKC!#REF!</definedName>
    <definedName name="外部資料_560" localSheetId="2">紅綠燈!#REF!</definedName>
    <definedName name="外部資料_5600" localSheetId="2">紅綠燈!#REF!</definedName>
    <definedName name="外部資料_5602" localSheetId="2">紅綠燈!#REF!</definedName>
    <definedName name="外部資料_5603" localSheetId="2">紅綠燈!#REF!</definedName>
    <definedName name="外部資料_5604" localSheetId="2">紅綠燈!#REF!</definedName>
    <definedName name="外部資料_5606" localSheetId="2">紅綠燈!#REF!</definedName>
    <definedName name="外部資料_5607" localSheetId="2">紅綠燈!#REF!</definedName>
    <definedName name="外部資料_5608" localSheetId="2">紅綠燈!#REF!</definedName>
    <definedName name="外部資料_561" localSheetId="7">PKA!#REF!</definedName>
    <definedName name="外部資料_561" localSheetId="8">PKB!#REF!</definedName>
    <definedName name="外部資料_561" localSheetId="9">PKC!#REF!</definedName>
    <definedName name="外部資料_561" localSheetId="2">紅綠燈!#REF!</definedName>
    <definedName name="外部資料_5610" localSheetId="2">紅綠燈!#REF!</definedName>
    <definedName name="外部資料_5611" localSheetId="2">紅綠燈!#REF!</definedName>
    <definedName name="外部資料_5612" localSheetId="2">紅綠燈!#REF!</definedName>
    <definedName name="外部資料_5614" localSheetId="2">紅綠燈!#REF!</definedName>
    <definedName name="外部資料_5615" localSheetId="2">紅綠燈!#REF!</definedName>
    <definedName name="外部資料_5616" localSheetId="2">紅綠燈!#REF!</definedName>
    <definedName name="外部資料_5618" localSheetId="2">紅綠燈!#REF!</definedName>
    <definedName name="外部資料_5619" localSheetId="2">紅綠燈!#REF!</definedName>
    <definedName name="外部資料_562" localSheetId="7">PKA!#REF!</definedName>
    <definedName name="外部資料_562" localSheetId="8">PKB!#REF!</definedName>
    <definedName name="外部資料_562" localSheetId="9">PKC!#REF!</definedName>
    <definedName name="外部資料_562" localSheetId="2">紅綠燈!#REF!</definedName>
    <definedName name="外部資料_5621" localSheetId="2">紅綠燈!#REF!</definedName>
    <definedName name="外部資料_5622" localSheetId="2">紅綠燈!#REF!</definedName>
    <definedName name="外部資料_5623" localSheetId="2">紅綠燈!#REF!</definedName>
    <definedName name="外部資料_5625" localSheetId="2">紅綠燈!#REF!</definedName>
    <definedName name="外部資料_5626" localSheetId="2">紅綠燈!#REF!</definedName>
    <definedName name="外部資料_5627" localSheetId="2">紅綠燈!#REF!</definedName>
    <definedName name="外部資料_5629" localSheetId="2">紅綠燈!#REF!</definedName>
    <definedName name="外部資料_563" localSheetId="7">PKA!#REF!</definedName>
    <definedName name="外部資料_563" localSheetId="8">PKB!#REF!</definedName>
    <definedName name="外部資料_563" localSheetId="9">PKC!#REF!</definedName>
    <definedName name="外部資料_5630" localSheetId="2">紅綠燈!#REF!</definedName>
    <definedName name="外部資料_5631" localSheetId="2">紅綠燈!#REF!</definedName>
    <definedName name="外部資料_5633" localSheetId="2">紅綠燈!#REF!</definedName>
    <definedName name="外部資料_5634" localSheetId="2">紅綠燈!#REF!</definedName>
    <definedName name="外部資料_5635" localSheetId="2">紅綠燈!#REF!</definedName>
    <definedName name="外部資料_5637" localSheetId="2">紅綠燈!#REF!</definedName>
    <definedName name="外部資料_5638" localSheetId="2">紅綠燈!#REF!</definedName>
    <definedName name="外部資料_5639" localSheetId="2">紅綠燈!#REF!</definedName>
    <definedName name="外部資料_564" localSheetId="7">PKA!#REF!</definedName>
    <definedName name="外部資料_564" localSheetId="8">PKB!#REF!</definedName>
    <definedName name="外部資料_564" localSheetId="9">PKC!#REF!</definedName>
    <definedName name="外部資料_564" localSheetId="2">紅綠燈!#REF!</definedName>
    <definedName name="外部資料_5641" localSheetId="2">紅綠燈!#REF!</definedName>
    <definedName name="外部資料_5642" localSheetId="2">紅綠燈!#REF!</definedName>
    <definedName name="外部資料_5643" localSheetId="2">紅綠燈!#REF!</definedName>
    <definedName name="外部資料_5645" localSheetId="2">紅綠燈!#REF!</definedName>
    <definedName name="外部資料_5646" localSheetId="2">紅綠燈!#REF!</definedName>
    <definedName name="外部資料_5647" localSheetId="2">紅綠燈!#REF!</definedName>
    <definedName name="外部資料_5649" localSheetId="2">紅綠燈!#REF!</definedName>
    <definedName name="外部資料_565" localSheetId="7">PKA!#REF!</definedName>
    <definedName name="外部資料_565" localSheetId="8">PKB!#REF!</definedName>
    <definedName name="外部資料_565" localSheetId="9">PKC!#REF!</definedName>
    <definedName name="外部資料_565" localSheetId="2">紅綠燈!#REF!</definedName>
    <definedName name="外部資料_5650" localSheetId="2">紅綠燈!#REF!</definedName>
    <definedName name="外部資料_5651" localSheetId="2">紅綠燈!#REF!</definedName>
    <definedName name="外部資料_5653" localSheetId="2">紅綠燈!#REF!</definedName>
    <definedName name="外部資料_5654" localSheetId="2">紅綠燈!#REF!</definedName>
    <definedName name="外部資料_5655" localSheetId="2">紅綠燈!#REF!</definedName>
    <definedName name="外部資料_5657" localSheetId="2">紅綠燈!#REF!</definedName>
    <definedName name="外部資料_5658" localSheetId="2">紅綠燈!#REF!</definedName>
    <definedName name="外部資料_5659" localSheetId="2">紅綠燈!#REF!</definedName>
    <definedName name="外部資料_566" localSheetId="7">PKA!#REF!</definedName>
    <definedName name="外部資料_566" localSheetId="8">PKB!#REF!</definedName>
    <definedName name="外部資料_566" localSheetId="9">PKC!#REF!</definedName>
    <definedName name="外部資料_566" localSheetId="2">紅綠燈!#REF!</definedName>
    <definedName name="外部資料_5661" localSheetId="2">紅綠燈!#REF!</definedName>
    <definedName name="外部資料_5662" localSheetId="2">紅綠燈!#REF!</definedName>
    <definedName name="外部資料_5663" localSheetId="2">紅綠燈!#REF!</definedName>
    <definedName name="外部資料_5665" localSheetId="2">紅綠燈!#REF!</definedName>
    <definedName name="外部資料_5666" localSheetId="2">紅綠燈!#REF!</definedName>
    <definedName name="外部資料_5667" localSheetId="2">紅綠燈!#REF!</definedName>
    <definedName name="外部資料_5669" localSheetId="2">紅綠燈!#REF!</definedName>
    <definedName name="外部資料_567" localSheetId="7">PKA!#REF!</definedName>
    <definedName name="外部資料_567" localSheetId="8">PKB!#REF!</definedName>
    <definedName name="外部資料_567" localSheetId="9">PKC!#REF!</definedName>
    <definedName name="外部資料_5670" localSheetId="2">紅綠燈!#REF!</definedName>
    <definedName name="外部資料_5671" localSheetId="2">紅綠燈!#REF!</definedName>
    <definedName name="外部資料_5673" localSheetId="2">紅綠燈!#REF!</definedName>
    <definedName name="外部資料_5674" localSheetId="2">紅綠燈!#REF!</definedName>
    <definedName name="外部資料_5675" localSheetId="2">紅綠燈!#REF!</definedName>
    <definedName name="外部資料_5677" localSheetId="2">紅綠燈!#REF!</definedName>
    <definedName name="外部資料_5678" localSheetId="2">紅綠燈!#REF!</definedName>
    <definedName name="外部資料_5679" localSheetId="2">紅綠燈!#REF!</definedName>
    <definedName name="外部資料_568" localSheetId="7">PKA!#REF!</definedName>
    <definedName name="外部資料_568" localSheetId="8">PKB!#REF!</definedName>
    <definedName name="外部資料_568" localSheetId="9">PKC!#REF!</definedName>
    <definedName name="外部資料_568" localSheetId="2">紅綠燈!#REF!</definedName>
    <definedName name="外部資料_5681" localSheetId="2">紅綠燈!#REF!</definedName>
    <definedName name="外部資料_5682" localSheetId="2">紅綠燈!#REF!</definedName>
    <definedName name="外部資料_5683" localSheetId="2">紅綠燈!#REF!</definedName>
    <definedName name="外部資料_5685" localSheetId="2">紅綠燈!#REF!</definedName>
    <definedName name="外部資料_5686" localSheetId="2">紅綠燈!#REF!</definedName>
    <definedName name="外部資料_5687" localSheetId="2">紅綠燈!#REF!</definedName>
    <definedName name="外部資料_5689" localSheetId="2">紅綠燈!#REF!</definedName>
    <definedName name="外部資料_569" localSheetId="7">PKA!#REF!</definedName>
    <definedName name="外部資料_569" localSheetId="8">PKB!#REF!</definedName>
    <definedName name="外部資料_569" localSheetId="9">PKC!#REF!</definedName>
    <definedName name="外部資料_569" localSheetId="2">紅綠燈!#REF!</definedName>
    <definedName name="外部資料_5690" localSheetId="2">紅綠燈!#REF!</definedName>
    <definedName name="外部資料_5691" localSheetId="2">紅綠燈!#REF!</definedName>
    <definedName name="外部資料_5693" localSheetId="2">紅綠燈!#REF!</definedName>
    <definedName name="外部資料_5694" localSheetId="2">紅綠燈!#REF!</definedName>
    <definedName name="外部資料_5695" localSheetId="2">紅綠燈!#REF!</definedName>
    <definedName name="外部資料_5697" localSheetId="2">紅綠燈!#REF!</definedName>
    <definedName name="外部資料_5698" localSheetId="2">紅綠燈!#REF!</definedName>
    <definedName name="外部資料_5699" localSheetId="2">紅綠燈!#REF!</definedName>
    <definedName name="外部資料_57" localSheetId="7">PKA!#REF!</definedName>
    <definedName name="外部資料_57" localSheetId="8">PKB!#REF!</definedName>
    <definedName name="外部資料_57" localSheetId="9">PKC!#REF!</definedName>
    <definedName name="外部資料_57" localSheetId="13">PSR!#REF!</definedName>
    <definedName name="外部資料_57" localSheetId="2">紅綠燈!#REF!</definedName>
    <definedName name="外部資料_57" localSheetId="10">福邦!#REF!</definedName>
    <definedName name="外部資料_570" localSheetId="7">PKA!#REF!</definedName>
    <definedName name="外部資料_570" localSheetId="8">PKB!#REF!</definedName>
    <definedName name="外部資料_570" localSheetId="9">PKC!#REF!</definedName>
    <definedName name="外部資料_570" localSheetId="2">紅綠燈!#REF!</definedName>
    <definedName name="外部資料_5701" localSheetId="2">紅綠燈!#REF!</definedName>
    <definedName name="外部資料_5702" localSheetId="2">紅綠燈!#REF!</definedName>
    <definedName name="外部資料_5703" localSheetId="2">紅綠燈!#REF!</definedName>
    <definedName name="外部資料_5705" localSheetId="2">紅綠燈!#REF!</definedName>
    <definedName name="外部資料_5706" localSheetId="2">紅綠燈!#REF!</definedName>
    <definedName name="外部資料_5707" localSheetId="2">紅綠燈!#REF!</definedName>
    <definedName name="外部資料_5709" localSheetId="2">紅綠燈!#REF!</definedName>
    <definedName name="外部資料_571" localSheetId="7">PKA!#REF!</definedName>
    <definedName name="外部資料_571" localSheetId="8">PKB!#REF!</definedName>
    <definedName name="外部資料_571" localSheetId="9">PKC!#REF!</definedName>
    <definedName name="外部資料_5710" localSheetId="2">紅綠燈!#REF!</definedName>
    <definedName name="外部資料_5711" localSheetId="2">紅綠燈!#REF!</definedName>
    <definedName name="外部資料_5713" localSheetId="2">紅綠燈!#REF!</definedName>
    <definedName name="外部資料_5714" localSheetId="2">紅綠燈!#REF!</definedName>
    <definedName name="外部資料_5715" localSheetId="2">紅綠燈!#REF!</definedName>
    <definedName name="外部資料_5717" localSheetId="2">紅綠燈!#REF!</definedName>
    <definedName name="外部資料_5718" localSheetId="2">紅綠燈!#REF!</definedName>
    <definedName name="外部資料_5719" localSheetId="2">紅綠燈!#REF!</definedName>
    <definedName name="外部資料_572" localSheetId="7">PKA!#REF!</definedName>
    <definedName name="外部資料_572" localSheetId="8">PKB!#REF!</definedName>
    <definedName name="外部資料_572" localSheetId="9">PKC!#REF!</definedName>
    <definedName name="外部資料_572" localSheetId="2">紅綠燈!#REF!</definedName>
    <definedName name="外部資料_5721" localSheetId="2">紅綠燈!#REF!</definedName>
    <definedName name="外部資料_5722" localSheetId="2">紅綠燈!#REF!</definedName>
    <definedName name="外部資料_5723" localSheetId="2">紅綠燈!#REF!</definedName>
    <definedName name="外部資料_5725" localSheetId="2">紅綠燈!#REF!</definedName>
    <definedName name="外部資料_5726" localSheetId="2">紅綠燈!#REF!</definedName>
    <definedName name="外部資料_5727" localSheetId="2">紅綠燈!#REF!</definedName>
    <definedName name="外部資料_5729" localSheetId="2">紅綠燈!#REF!</definedName>
    <definedName name="外部資料_573" localSheetId="7">PKA!#REF!</definedName>
    <definedName name="外部資料_573" localSheetId="8">PKB!#REF!</definedName>
    <definedName name="外部資料_573" localSheetId="9">PKC!#REF!</definedName>
    <definedName name="外部資料_573" localSheetId="2">紅綠燈!#REF!</definedName>
    <definedName name="外部資料_5730" localSheetId="2">紅綠燈!#REF!</definedName>
    <definedName name="外部資料_5731" localSheetId="2">紅綠燈!#REF!</definedName>
    <definedName name="外部資料_5733" localSheetId="2">紅綠燈!#REF!</definedName>
    <definedName name="外部資料_5734" localSheetId="2">紅綠燈!#REF!</definedName>
    <definedName name="外部資料_5735" localSheetId="2">紅綠燈!#REF!</definedName>
    <definedName name="外部資料_5737" localSheetId="2">紅綠燈!#REF!</definedName>
    <definedName name="外部資料_5738" localSheetId="2">紅綠燈!#REF!</definedName>
    <definedName name="外部資料_5739" localSheetId="2">紅綠燈!#REF!</definedName>
    <definedName name="外部資料_574" localSheetId="7">PKA!#REF!</definedName>
    <definedName name="外部資料_574" localSheetId="8">PKB!#REF!</definedName>
    <definedName name="外部資料_574" localSheetId="9">PKC!#REF!</definedName>
    <definedName name="外部資料_574" localSheetId="2">紅綠燈!#REF!</definedName>
    <definedName name="外部資料_5741" localSheetId="2">紅綠燈!#REF!</definedName>
    <definedName name="外部資料_5742" localSheetId="2">紅綠燈!#REF!</definedName>
    <definedName name="外部資料_5743" localSheetId="2">紅綠燈!#REF!</definedName>
    <definedName name="外部資料_5745" localSheetId="2">紅綠燈!#REF!</definedName>
    <definedName name="外部資料_5746" localSheetId="2">紅綠燈!#REF!</definedName>
    <definedName name="外部資料_5747" localSheetId="2">紅綠燈!#REF!</definedName>
    <definedName name="外部資料_5749" localSheetId="2">紅綠燈!#REF!</definedName>
    <definedName name="外部資料_575" localSheetId="7">PKA!#REF!</definedName>
    <definedName name="外部資料_575" localSheetId="8">PKB!#REF!</definedName>
    <definedName name="外部資料_575" localSheetId="9">PKC!#REF!</definedName>
    <definedName name="外部資料_5750" localSheetId="2">紅綠燈!#REF!</definedName>
    <definedName name="外部資料_5751" localSheetId="2">紅綠燈!#REF!</definedName>
    <definedName name="外部資料_5753" localSheetId="2">紅綠燈!#REF!</definedName>
    <definedName name="外部資料_5754" localSheetId="2">紅綠燈!#REF!</definedName>
    <definedName name="外部資料_5755" localSheetId="2">紅綠燈!#REF!</definedName>
    <definedName name="外部資料_5757" localSheetId="2">紅綠燈!#REF!</definedName>
    <definedName name="外部資料_5758" localSheetId="2">紅綠燈!#REF!</definedName>
    <definedName name="外部資料_5759" localSheetId="2">紅綠燈!#REF!</definedName>
    <definedName name="外部資料_576" localSheetId="7">PKA!#REF!</definedName>
    <definedName name="外部資料_576" localSheetId="8">PKB!#REF!</definedName>
    <definedName name="外部資料_576" localSheetId="9">PKC!#REF!</definedName>
    <definedName name="外部資料_576" localSheetId="2">紅綠燈!#REF!</definedName>
    <definedName name="外部資料_5761" localSheetId="2">紅綠燈!#REF!</definedName>
    <definedName name="外部資料_5762" localSheetId="2">紅綠燈!#REF!</definedName>
    <definedName name="外部資料_5763" localSheetId="2">紅綠燈!#REF!</definedName>
    <definedName name="外部資料_5765" localSheetId="2">紅綠燈!#REF!</definedName>
    <definedName name="外部資料_5766" localSheetId="2">紅綠燈!#REF!</definedName>
    <definedName name="外部資料_5767" localSheetId="2">紅綠燈!#REF!</definedName>
    <definedName name="外部資料_5769" localSheetId="2">紅綠燈!#REF!</definedName>
    <definedName name="外部資料_577" localSheetId="7">PKA!#REF!</definedName>
    <definedName name="外部資料_577" localSheetId="8">PKB!#REF!</definedName>
    <definedName name="外部資料_577" localSheetId="9">PKC!#REF!</definedName>
    <definedName name="外部資料_577" localSheetId="2">紅綠燈!#REF!</definedName>
    <definedName name="外部資料_5770" localSheetId="2">紅綠燈!#REF!</definedName>
    <definedName name="外部資料_5771" localSheetId="2">紅綠燈!#REF!</definedName>
    <definedName name="外部資料_5773" localSheetId="2">紅綠燈!#REF!</definedName>
    <definedName name="外部資料_5774" localSheetId="2">紅綠燈!#REF!</definedName>
    <definedName name="外部資料_5775" localSheetId="2">紅綠燈!#REF!</definedName>
    <definedName name="外部資料_5777" localSheetId="2">紅綠燈!#REF!</definedName>
    <definedName name="外部資料_5778" localSheetId="2">紅綠燈!#REF!</definedName>
    <definedName name="外部資料_5779" localSheetId="2">紅綠燈!#REF!</definedName>
    <definedName name="外部資料_578" localSheetId="7">PKA!#REF!</definedName>
    <definedName name="外部資料_578" localSheetId="8">PKB!#REF!</definedName>
    <definedName name="外部資料_578" localSheetId="9">PKC!#REF!</definedName>
    <definedName name="外部資料_578" localSheetId="2">紅綠燈!#REF!</definedName>
    <definedName name="外部資料_5781" localSheetId="2">紅綠燈!#REF!</definedName>
    <definedName name="外部資料_5782" localSheetId="2">紅綠燈!#REF!</definedName>
    <definedName name="外部資料_5783" localSheetId="2">紅綠燈!#REF!</definedName>
    <definedName name="外部資料_5785" localSheetId="2">紅綠燈!#REF!</definedName>
    <definedName name="外部資料_5786" localSheetId="2">紅綠燈!#REF!</definedName>
    <definedName name="外部資料_5787" localSheetId="2">紅綠燈!#REF!</definedName>
    <definedName name="外部資料_5789" localSheetId="2">紅綠燈!#REF!</definedName>
    <definedName name="外部資料_579" localSheetId="7">PKA!#REF!</definedName>
    <definedName name="外部資料_579" localSheetId="8">PKB!#REF!</definedName>
    <definedName name="外部資料_579" localSheetId="9">PKC!#REF!</definedName>
    <definedName name="外部資料_5790" localSheetId="2">紅綠燈!#REF!</definedName>
    <definedName name="外部資料_5791" localSheetId="2">紅綠燈!#REF!</definedName>
    <definedName name="外部資料_5793" localSheetId="2">紅綠燈!#REF!</definedName>
    <definedName name="外部資料_5794" localSheetId="2">紅綠燈!#REF!</definedName>
    <definedName name="外部資料_5795" localSheetId="2">紅綠燈!#REF!</definedName>
    <definedName name="外部資料_5797" localSheetId="2">紅綠燈!#REF!</definedName>
    <definedName name="外部資料_5798" localSheetId="2">紅綠燈!#REF!</definedName>
    <definedName name="外部資料_5799" localSheetId="2">紅綠燈!#REF!</definedName>
    <definedName name="外部資料_58" localSheetId="7">PKA!#REF!</definedName>
    <definedName name="外部資料_58" localSheetId="8">PKB!#REF!</definedName>
    <definedName name="外部資料_58" localSheetId="9">PKC!#REF!</definedName>
    <definedName name="外部資料_58" localSheetId="13">PSR!#REF!</definedName>
    <definedName name="外部資料_58" localSheetId="2">紅綠燈!#REF!</definedName>
    <definedName name="外部資料_58" localSheetId="10">福邦!#REF!</definedName>
    <definedName name="外部資料_580" localSheetId="7">PKA!#REF!</definedName>
    <definedName name="外部資料_580" localSheetId="8">PKB!#REF!</definedName>
    <definedName name="外部資料_580" localSheetId="9">PKC!$A$1:$K$65</definedName>
    <definedName name="外部資料_580" localSheetId="2">紅綠燈!#REF!</definedName>
    <definedName name="外部資料_5801" localSheetId="2">紅綠燈!#REF!</definedName>
    <definedName name="外部資料_5802" localSheetId="2">紅綠燈!#REF!</definedName>
    <definedName name="外部資料_5803" localSheetId="2">紅綠燈!#REF!</definedName>
    <definedName name="外部資料_5805" localSheetId="2">紅綠燈!#REF!</definedName>
    <definedName name="外部資料_5806" localSheetId="2">紅綠燈!#REF!</definedName>
    <definedName name="外部資料_5807" localSheetId="2">紅綠燈!#REF!</definedName>
    <definedName name="外部資料_5809" localSheetId="2">紅綠燈!#REF!</definedName>
    <definedName name="外部資料_581" localSheetId="7">PKA!#REF!</definedName>
    <definedName name="外部資料_581" localSheetId="8">PKB!#REF!</definedName>
    <definedName name="外部資料_581" localSheetId="9">PKC!$A$100:$K$160</definedName>
    <definedName name="外部資料_581" localSheetId="2">紅綠燈!#REF!</definedName>
    <definedName name="外部資料_5810" localSheetId="2">紅綠燈!#REF!</definedName>
    <definedName name="外部資料_5811" localSheetId="2">紅綠燈!#REF!</definedName>
    <definedName name="外部資料_5813" localSheetId="2">紅綠燈!#REF!</definedName>
    <definedName name="外部資料_5814" localSheetId="2">紅綠燈!#REF!</definedName>
    <definedName name="外部資料_5815" localSheetId="2">紅綠燈!#REF!</definedName>
    <definedName name="外部資料_5817" localSheetId="2">紅綠燈!#REF!</definedName>
    <definedName name="外部資料_5818" localSheetId="2">紅綠燈!#REF!</definedName>
    <definedName name="外部資料_5819" localSheetId="2">紅綠燈!#REF!</definedName>
    <definedName name="外部資料_582" localSheetId="7">PKA!#REF!</definedName>
    <definedName name="外部資料_582" localSheetId="8">PKB!#REF!</definedName>
    <definedName name="外部資料_582" localSheetId="9">PKC!$A$200:$K$247</definedName>
    <definedName name="外部資料_582" localSheetId="2">紅綠燈!#REF!</definedName>
    <definedName name="外部資料_5821" localSheetId="2">紅綠燈!#REF!</definedName>
    <definedName name="外部資料_5822" localSheetId="2">紅綠燈!#REF!</definedName>
    <definedName name="外部資料_5823" localSheetId="2">紅綠燈!#REF!</definedName>
    <definedName name="外部資料_5825" localSheetId="2">紅綠燈!#REF!</definedName>
    <definedName name="外部資料_5826" localSheetId="2">紅綠燈!#REF!</definedName>
    <definedName name="外部資料_5827" localSheetId="2">紅綠燈!#REF!</definedName>
    <definedName name="外部資料_5829" localSheetId="2">紅綠燈!#REF!</definedName>
    <definedName name="外部資料_583" localSheetId="7">PKA!#REF!</definedName>
    <definedName name="外部資料_583" localSheetId="8">PKB!#REF!</definedName>
    <definedName name="外部資料_5830" localSheetId="2">紅綠燈!#REF!</definedName>
    <definedName name="外部資料_5831" localSheetId="2">紅綠燈!#REF!</definedName>
    <definedName name="外部資料_5833" localSheetId="2">紅綠燈!#REF!</definedName>
    <definedName name="外部資料_5834" localSheetId="2">紅綠燈!#REF!</definedName>
    <definedName name="外部資料_5835" localSheetId="2">紅綠燈!#REF!</definedName>
    <definedName name="外部資料_5837" localSheetId="2">紅綠燈!#REF!</definedName>
    <definedName name="外部資料_5838" localSheetId="2">紅綠燈!#REF!</definedName>
    <definedName name="外部資料_5839" localSheetId="2">紅綠燈!#REF!</definedName>
    <definedName name="外部資料_584" localSheetId="7">PKA!#REF!</definedName>
    <definedName name="外部資料_584" localSheetId="8">PKB!#REF!</definedName>
    <definedName name="外部資料_584" localSheetId="2">紅綠燈!#REF!</definedName>
    <definedName name="外部資料_5841" localSheetId="2">紅綠燈!#REF!</definedName>
    <definedName name="外部資料_5842" localSheetId="2">紅綠燈!#REF!</definedName>
    <definedName name="外部資料_5843" localSheetId="2">紅綠燈!#REF!</definedName>
    <definedName name="外部資料_5845" localSheetId="2">紅綠燈!#REF!</definedName>
    <definedName name="外部資料_5846" localSheetId="2">紅綠燈!#REF!</definedName>
    <definedName name="外部資料_5847" localSheetId="2">紅綠燈!#REF!</definedName>
    <definedName name="外部資料_5849" localSheetId="2">紅綠燈!#REF!</definedName>
    <definedName name="外部資料_585" localSheetId="7">PKA!#REF!</definedName>
    <definedName name="外部資料_585" localSheetId="8">PKB!#REF!</definedName>
    <definedName name="外部資料_585" localSheetId="2">紅綠燈!#REF!</definedName>
    <definedName name="外部資料_5850" localSheetId="2">紅綠燈!#REF!</definedName>
    <definedName name="外部資料_5851" localSheetId="2">紅綠燈!#REF!</definedName>
    <definedName name="外部資料_5853" localSheetId="2">紅綠燈!#REF!</definedName>
    <definedName name="外部資料_5854" localSheetId="2">紅綠燈!#REF!</definedName>
    <definedName name="外部資料_5855" localSheetId="2">紅綠燈!#REF!</definedName>
    <definedName name="外部資料_5857" localSheetId="2">紅綠燈!#REF!</definedName>
    <definedName name="外部資料_5858" localSheetId="2">紅綠燈!#REF!</definedName>
    <definedName name="外部資料_5859" localSheetId="2">紅綠燈!#REF!</definedName>
    <definedName name="外部資料_586" localSheetId="7">PKA!#REF!</definedName>
    <definedName name="外部資料_586" localSheetId="8">PKB!#REF!</definedName>
    <definedName name="外部資料_586" localSheetId="2">紅綠燈!#REF!</definedName>
    <definedName name="外部資料_5861" localSheetId="2">紅綠燈!#REF!</definedName>
    <definedName name="外部資料_5862" localSheetId="2">紅綠燈!#REF!</definedName>
    <definedName name="外部資料_5863" localSheetId="2">紅綠燈!#REF!</definedName>
    <definedName name="外部資料_5865" localSheetId="2">紅綠燈!#REF!</definedName>
    <definedName name="外部資料_5866" localSheetId="2">紅綠燈!#REF!</definedName>
    <definedName name="外部資料_5867" localSheetId="2">紅綠燈!#REF!</definedName>
    <definedName name="外部資料_5869" localSheetId="2">紅綠燈!#REF!</definedName>
    <definedName name="外部資料_587" localSheetId="7">PKA!#REF!</definedName>
    <definedName name="外部資料_587" localSheetId="8">PKB!#REF!</definedName>
    <definedName name="外部資料_5870" localSheetId="2">紅綠燈!#REF!</definedName>
    <definedName name="外部資料_5871" localSheetId="2">紅綠燈!#REF!</definedName>
    <definedName name="外部資料_5873" localSheetId="2">紅綠燈!#REF!</definedName>
    <definedName name="外部資料_5874" localSheetId="2">紅綠燈!#REF!</definedName>
    <definedName name="外部資料_5875" localSheetId="2">紅綠燈!#REF!</definedName>
    <definedName name="外部資料_5877" localSheetId="2">紅綠燈!#REF!</definedName>
    <definedName name="外部資料_5878" localSheetId="2">紅綠燈!#REF!</definedName>
    <definedName name="外部資料_5879" localSheetId="2">紅綠燈!#REF!</definedName>
    <definedName name="外部資料_588" localSheetId="7">PKA!#REF!</definedName>
    <definedName name="外部資料_588" localSheetId="8">PKB!#REF!</definedName>
    <definedName name="外部資料_588" localSheetId="2">紅綠燈!#REF!</definedName>
    <definedName name="外部資料_5881" localSheetId="2">紅綠燈!#REF!</definedName>
    <definedName name="外部資料_5882" localSheetId="2">紅綠燈!#REF!</definedName>
    <definedName name="外部資料_5884" localSheetId="2">紅綠燈!#REF!</definedName>
    <definedName name="外部資料_5885" localSheetId="2">紅綠燈!#REF!</definedName>
    <definedName name="外部資料_5886" localSheetId="2">紅綠燈!#REF!</definedName>
    <definedName name="外部資料_5888" localSheetId="2">紅綠燈!#REF!</definedName>
    <definedName name="外部資料_5889" localSheetId="2">紅綠燈!#REF!</definedName>
    <definedName name="外部資料_589" localSheetId="7">PKA!#REF!</definedName>
    <definedName name="外部資料_589" localSheetId="8">PKB!#REF!</definedName>
    <definedName name="外部資料_589" localSheetId="2">紅綠燈!#REF!</definedName>
    <definedName name="外部資料_5890" localSheetId="2">紅綠燈!#REF!</definedName>
    <definedName name="外部資料_5892" localSheetId="2">紅綠燈!#REF!</definedName>
    <definedName name="外部資料_5893" localSheetId="2">紅綠燈!#REF!</definedName>
    <definedName name="外部資料_5894" localSheetId="2">紅綠燈!#REF!</definedName>
    <definedName name="外部資料_5896" localSheetId="2">紅綠燈!#REF!</definedName>
    <definedName name="外部資料_5897" localSheetId="2">紅綠燈!#REF!</definedName>
    <definedName name="外部資料_5898" localSheetId="2">紅綠燈!#REF!</definedName>
    <definedName name="外部資料_59" localSheetId="7">PKA!#REF!</definedName>
    <definedName name="外部資料_59" localSheetId="8">PKB!#REF!</definedName>
    <definedName name="外部資料_59" localSheetId="9">PKC!#REF!</definedName>
    <definedName name="外部資料_59" localSheetId="13">PSR!#REF!</definedName>
    <definedName name="外部資料_59" localSheetId="10">福邦!#REF!</definedName>
    <definedName name="外部資料_590" localSheetId="7">PKA!#REF!</definedName>
    <definedName name="外部資料_590" localSheetId="8">PKB!#REF!</definedName>
    <definedName name="外部資料_590" localSheetId="2">紅綠燈!#REF!</definedName>
    <definedName name="外部資料_5900" localSheetId="2">紅綠燈!#REF!</definedName>
    <definedName name="外部資料_5901" localSheetId="2">紅綠燈!#REF!</definedName>
    <definedName name="外部資料_5902" localSheetId="2">紅綠燈!#REF!</definedName>
    <definedName name="外部資料_5904" localSheetId="2">紅綠燈!#REF!</definedName>
    <definedName name="外部資料_5905" localSheetId="2">紅綠燈!#REF!</definedName>
    <definedName name="外部資料_5906" localSheetId="2">紅綠燈!#REF!</definedName>
    <definedName name="外部資料_5908" localSheetId="2">紅綠燈!#REF!</definedName>
    <definedName name="外部資料_5909" localSheetId="2">紅綠燈!#REF!</definedName>
    <definedName name="外部資料_591" localSheetId="7">PKA!#REF!</definedName>
    <definedName name="外部資料_591" localSheetId="8">PKB!#REF!</definedName>
    <definedName name="外部資料_5910" localSheetId="2">紅綠燈!#REF!</definedName>
    <definedName name="外部資料_5912" localSheetId="2">紅綠燈!#REF!</definedName>
    <definedName name="外部資料_5913" localSheetId="2">紅綠燈!#REF!</definedName>
    <definedName name="外部資料_5914" localSheetId="2">紅綠燈!#REF!</definedName>
    <definedName name="外部資料_5916" localSheetId="2">紅綠燈!#REF!</definedName>
    <definedName name="外部資料_5917" localSheetId="2">紅綠燈!#REF!</definedName>
    <definedName name="外部資料_5918" localSheetId="2">紅綠燈!#REF!</definedName>
    <definedName name="外部資料_592" localSheetId="7">PKA!#REF!</definedName>
    <definedName name="外部資料_592" localSheetId="8">PKB!#REF!</definedName>
    <definedName name="外部資料_592" localSheetId="2">紅綠燈!#REF!</definedName>
    <definedName name="外部資料_5920" localSheetId="2">紅綠燈!#REF!</definedName>
    <definedName name="外部資料_5921" localSheetId="2">紅綠燈!#REF!</definedName>
    <definedName name="外部資料_5922" localSheetId="2">紅綠燈!#REF!</definedName>
    <definedName name="外部資料_5924" localSheetId="2">紅綠燈!#REF!</definedName>
    <definedName name="外部資料_5925" localSheetId="2">紅綠燈!#REF!</definedName>
    <definedName name="外部資料_5926" localSheetId="2">紅綠燈!#REF!</definedName>
    <definedName name="外部資料_5928" localSheetId="2">紅綠燈!#REF!</definedName>
    <definedName name="外部資料_5929" localSheetId="2">紅綠燈!#REF!</definedName>
    <definedName name="外部資料_593" localSheetId="7">PKA!#REF!</definedName>
    <definedName name="外部資料_593" localSheetId="8">PKB!#REF!</definedName>
    <definedName name="外部資料_593" localSheetId="2">紅綠燈!#REF!</definedName>
    <definedName name="外部資料_5930" localSheetId="2">紅綠燈!#REF!</definedName>
    <definedName name="外部資料_5932" localSheetId="2">紅綠燈!#REF!</definedName>
    <definedName name="外部資料_5933" localSheetId="2">紅綠燈!#REF!</definedName>
    <definedName name="外部資料_5934" localSheetId="2">紅綠燈!#REF!</definedName>
    <definedName name="外部資料_5936" localSheetId="2">紅綠燈!#REF!</definedName>
    <definedName name="外部資料_5937" localSheetId="2">紅綠燈!#REF!</definedName>
    <definedName name="外部資料_5939" localSheetId="2">紅綠燈!#REF!</definedName>
    <definedName name="外部資料_594" localSheetId="7">PKA!#REF!</definedName>
    <definedName name="外部資料_594" localSheetId="8">PKB!#REF!</definedName>
    <definedName name="外部資料_594" localSheetId="2">紅綠燈!#REF!</definedName>
    <definedName name="外部資料_5940" localSheetId="2">紅綠燈!#REF!</definedName>
    <definedName name="外部資料_5941" localSheetId="2">紅綠燈!#REF!</definedName>
    <definedName name="外部資料_5943" localSheetId="2">紅綠燈!#REF!</definedName>
    <definedName name="外部資料_5944" localSheetId="2">紅綠燈!#REF!</definedName>
    <definedName name="外部資料_5945" localSheetId="2">紅綠燈!#REF!</definedName>
    <definedName name="外部資料_5947" localSheetId="2">紅綠燈!#REF!</definedName>
    <definedName name="外部資料_5948" localSheetId="2">紅綠燈!#REF!</definedName>
    <definedName name="外部資料_5949" localSheetId="2">紅綠燈!#REF!</definedName>
    <definedName name="外部資料_595" localSheetId="7">PKA!#REF!</definedName>
    <definedName name="外部資料_595" localSheetId="8">PKB!#REF!</definedName>
    <definedName name="外部資料_5951" localSheetId="2">紅綠燈!#REF!</definedName>
    <definedName name="外部資料_5952" localSheetId="2">紅綠燈!#REF!</definedName>
    <definedName name="外部資料_5953" localSheetId="2">紅綠燈!#REF!</definedName>
    <definedName name="外部資料_5955" localSheetId="2">紅綠燈!#REF!</definedName>
    <definedName name="外部資料_5956" localSheetId="2">紅綠燈!#REF!</definedName>
    <definedName name="外部資料_5957" localSheetId="2">紅綠燈!#REF!</definedName>
    <definedName name="外部資料_5959" localSheetId="2">紅綠燈!#REF!</definedName>
    <definedName name="外部資料_596" localSheetId="7">PKA!#REF!</definedName>
    <definedName name="外部資料_596" localSheetId="8">PKB!#REF!</definedName>
    <definedName name="外部資料_596" localSheetId="2">紅綠燈!#REF!</definedName>
    <definedName name="外部資料_5960" localSheetId="2">紅綠燈!#REF!</definedName>
    <definedName name="外部資料_5961" localSheetId="2">紅綠燈!#REF!</definedName>
    <definedName name="外部資料_5963" localSheetId="2">紅綠燈!#REF!</definedName>
    <definedName name="外部資料_5964" localSheetId="2">紅綠燈!#REF!</definedName>
    <definedName name="外部資料_5965" localSheetId="2">紅綠燈!#REF!</definedName>
    <definedName name="外部資料_5967" localSheetId="2">紅綠燈!#REF!</definedName>
    <definedName name="外部資料_5968" localSheetId="2">紅綠燈!#REF!</definedName>
    <definedName name="外部資料_5969" localSheetId="2">紅綠燈!#REF!</definedName>
    <definedName name="外部資料_597" localSheetId="7">PKA!#REF!</definedName>
    <definedName name="外部資料_597" localSheetId="8">PKB!#REF!</definedName>
    <definedName name="外部資料_597" localSheetId="2">紅綠燈!#REF!</definedName>
    <definedName name="外部資料_5971" localSheetId="2">紅綠燈!#REF!</definedName>
    <definedName name="外部資料_5972" localSheetId="2">紅綠燈!#REF!</definedName>
    <definedName name="外部資料_5973" localSheetId="2">紅綠燈!#REF!</definedName>
    <definedName name="外部資料_5975" localSheetId="2">紅綠燈!#REF!</definedName>
    <definedName name="外部資料_5976" localSheetId="2">紅綠燈!#REF!</definedName>
    <definedName name="外部資料_5977" localSheetId="2">紅綠燈!#REF!</definedName>
    <definedName name="外部資料_5979" localSheetId="2">紅綠燈!#REF!</definedName>
    <definedName name="外部資料_598" localSheetId="7">PKA!#REF!</definedName>
    <definedName name="外部資料_598" localSheetId="8">PKB!#REF!</definedName>
    <definedName name="外部資料_598" localSheetId="2">紅綠燈!#REF!</definedName>
    <definedName name="外部資料_5980" localSheetId="2">紅綠燈!#REF!</definedName>
    <definedName name="外部資料_5981" localSheetId="2">紅綠燈!#REF!</definedName>
    <definedName name="外部資料_5983" localSheetId="2">紅綠燈!#REF!</definedName>
    <definedName name="外部資料_5984" localSheetId="2">紅綠燈!#REF!</definedName>
    <definedName name="外部資料_5985" localSheetId="2">紅綠燈!#REF!</definedName>
    <definedName name="外部資料_5987" localSheetId="2">紅綠燈!#REF!</definedName>
    <definedName name="外部資料_5988" localSheetId="2">紅綠燈!#REF!</definedName>
    <definedName name="外部資料_5989" localSheetId="2">紅綠燈!#REF!</definedName>
    <definedName name="外部資料_599" localSheetId="7">PKA!#REF!</definedName>
    <definedName name="外部資料_599" localSheetId="8">PKB!#REF!</definedName>
    <definedName name="外部資料_5991" localSheetId="2">紅綠燈!#REF!</definedName>
    <definedName name="外部資料_5992" localSheetId="2">紅綠燈!#REF!</definedName>
    <definedName name="外部資料_5993" localSheetId="2">紅綠燈!#REF!</definedName>
    <definedName name="外部資料_6" localSheetId="7">PKA!#REF!</definedName>
    <definedName name="外部資料_6" localSheetId="8">PKB!#REF!</definedName>
    <definedName name="外部資料_6" localSheetId="9">PKC!#REF!</definedName>
    <definedName name="外部資料_6" localSheetId="13">PSR!#REF!</definedName>
    <definedName name="外部資料_6" localSheetId="2">紅綠燈!#REF!</definedName>
    <definedName name="外部資料_6" localSheetId="3">評比系統!#REF!</definedName>
    <definedName name="外部資料_6" localSheetId="10">福邦!#REF!</definedName>
    <definedName name="外部資料_6" localSheetId="4">篩股系統!#REF!</definedName>
    <definedName name="外部資料_6" localSheetId="11">營收搶先報!#REF!</definedName>
    <definedName name="外部資料_60" localSheetId="7">PKA!#REF!</definedName>
    <definedName name="外部資料_60" localSheetId="8">PKB!#REF!</definedName>
    <definedName name="外部資料_60" localSheetId="9">PKC!#REF!</definedName>
    <definedName name="外部資料_60" localSheetId="13">PSR!#REF!</definedName>
    <definedName name="外部資料_60" localSheetId="2">紅綠燈!#REF!</definedName>
    <definedName name="外部資料_60" localSheetId="10">福邦!#REF!</definedName>
    <definedName name="外部資料_600" localSheetId="7">PKA!#REF!</definedName>
    <definedName name="外部資料_600" localSheetId="8">PKB!#REF!</definedName>
    <definedName name="外部資料_600" localSheetId="2">紅綠燈!#REF!</definedName>
    <definedName name="外部資料_601" localSheetId="7">PKA!#REF!</definedName>
    <definedName name="外部資料_601" localSheetId="8">PKB!#REF!</definedName>
    <definedName name="外部資料_601" localSheetId="2">紅綠燈!#REF!</definedName>
    <definedName name="外部資料_602" localSheetId="7">PKA!#REF!</definedName>
    <definedName name="外部資料_602" localSheetId="8">PKB!#REF!</definedName>
    <definedName name="外部資料_603" localSheetId="7">PKA!#REF!</definedName>
    <definedName name="外部資料_603" localSheetId="8">PKB!#REF!</definedName>
    <definedName name="外部資料_603" localSheetId="2">紅綠燈!#REF!</definedName>
    <definedName name="外部資料_604" localSheetId="7">PKA!#REF!</definedName>
    <definedName name="外部資料_604" localSheetId="8">PKB!#REF!</definedName>
    <definedName name="外部資料_604" localSheetId="2">紅綠燈!#REF!</definedName>
    <definedName name="外部資料_605" localSheetId="7">PKA!#REF!</definedName>
    <definedName name="外部資料_605" localSheetId="8">PKB!#REF!</definedName>
    <definedName name="外部資料_605" localSheetId="2">紅綠燈!#REF!</definedName>
    <definedName name="外部資料_606" localSheetId="7">PKA!#REF!</definedName>
    <definedName name="外部資料_606" localSheetId="8">PKB!#REF!</definedName>
    <definedName name="外部資料_607" localSheetId="7">PKA!#REF!</definedName>
    <definedName name="外部資料_607" localSheetId="8">PKB!#REF!</definedName>
    <definedName name="外部資料_607" localSheetId="2">紅綠燈!#REF!</definedName>
    <definedName name="外部資料_608" localSheetId="7">PKA!#REF!</definedName>
    <definedName name="外部資料_608" localSheetId="8">PKB!#REF!</definedName>
    <definedName name="外部資料_608" localSheetId="2">紅綠燈!#REF!</definedName>
    <definedName name="外部資料_609" localSheetId="7">PKA!#REF!</definedName>
    <definedName name="外部資料_609" localSheetId="8">PKB!#REF!</definedName>
    <definedName name="外部資料_609" localSheetId="2">紅綠燈!#REF!</definedName>
    <definedName name="外部資料_61" localSheetId="7">PKA!#REF!</definedName>
    <definedName name="外部資料_61" localSheetId="8">PKB!#REF!</definedName>
    <definedName name="外部資料_61" localSheetId="9">PKC!#REF!</definedName>
    <definedName name="外部資料_61" localSheetId="13">PSR!#REF!</definedName>
    <definedName name="外部資料_61" localSheetId="2">紅綠燈!#REF!</definedName>
    <definedName name="外部資料_61" localSheetId="10">福邦!#REF!</definedName>
    <definedName name="外部資料_610" localSheetId="7">PKA!#REF!</definedName>
    <definedName name="外部資料_610" localSheetId="8">PKB!#REF!</definedName>
    <definedName name="外部資料_611" localSheetId="7">PKA!#REF!</definedName>
    <definedName name="外部資料_611" localSheetId="8">PKB!#REF!</definedName>
    <definedName name="外部資料_611" localSheetId="2">紅綠燈!#REF!</definedName>
    <definedName name="外部資料_612" localSheetId="7">PKA!#REF!</definedName>
    <definedName name="外部資料_612" localSheetId="8">PKB!#REF!</definedName>
    <definedName name="外部資料_612" localSheetId="2">紅綠燈!#REF!</definedName>
    <definedName name="外部資料_613" localSheetId="7">PKA!#REF!</definedName>
    <definedName name="外部資料_613" localSheetId="8">PKB!#REF!</definedName>
    <definedName name="外部資料_613" localSheetId="2">紅綠燈!#REF!</definedName>
    <definedName name="外部資料_614" localSheetId="7">PKA!#REF!</definedName>
    <definedName name="外部資料_614" localSheetId="8">PKB!#REF!</definedName>
    <definedName name="外部資料_615" localSheetId="7">PKA!#REF!</definedName>
    <definedName name="外部資料_615" localSheetId="8">PKB!#REF!</definedName>
    <definedName name="外部資料_615" localSheetId="2">紅綠燈!#REF!</definedName>
    <definedName name="外部資料_616" localSheetId="7">PKA!#REF!</definedName>
    <definedName name="外部資料_616" localSheetId="8">PKB!#REF!</definedName>
    <definedName name="外部資料_616" localSheetId="2">紅綠燈!#REF!</definedName>
    <definedName name="外部資料_617" localSheetId="7">PKA!#REF!</definedName>
    <definedName name="外部資料_617" localSheetId="8">PKB!#REF!</definedName>
    <definedName name="外部資料_617" localSheetId="2">紅綠燈!#REF!</definedName>
    <definedName name="外部資料_618" localSheetId="7">PKA!#REF!</definedName>
    <definedName name="外部資料_618" localSheetId="8">PKB!#REF!</definedName>
    <definedName name="外部資料_619" localSheetId="7">PKA!#REF!</definedName>
    <definedName name="外部資料_619" localSheetId="8">PKB!#REF!</definedName>
    <definedName name="外部資料_619" localSheetId="2">紅綠燈!#REF!</definedName>
    <definedName name="外部資料_62" localSheetId="7">PKA!#REF!</definedName>
    <definedName name="外部資料_62" localSheetId="8">PKB!#REF!</definedName>
    <definedName name="外部資料_62" localSheetId="9">PKC!#REF!</definedName>
    <definedName name="外部資料_62" localSheetId="13">PSR!#REF!</definedName>
    <definedName name="外部資料_62" localSheetId="2">紅綠燈!#REF!</definedName>
    <definedName name="外部資料_62" localSheetId="10">福邦!#REF!</definedName>
    <definedName name="外部資料_620" localSheetId="7">PKA!#REF!</definedName>
    <definedName name="外部資料_620" localSheetId="8">PKB!#REF!</definedName>
    <definedName name="外部資料_620" localSheetId="2">紅綠燈!#REF!</definedName>
    <definedName name="外部資料_621" localSheetId="7">PKA!#REF!</definedName>
    <definedName name="外部資料_621" localSheetId="8">PKB!#REF!</definedName>
    <definedName name="外部資料_621" localSheetId="2">紅綠燈!#REF!</definedName>
    <definedName name="外部資料_622" localSheetId="7">PKA!#REF!</definedName>
    <definedName name="外部資料_622" localSheetId="8">PKB!#REF!</definedName>
    <definedName name="外部資料_623" localSheetId="7">PKA!#REF!</definedName>
    <definedName name="外部資料_623" localSheetId="8">PKB!#REF!</definedName>
    <definedName name="外部資料_623" localSheetId="2">紅綠燈!#REF!</definedName>
    <definedName name="外部資料_624" localSheetId="7">PKA!#REF!</definedName>
    <definedName name="外部資料_624" localSheetId="8">PKB!#REF!</definedName>
    <definedName name="外部資料_624" localSheetId="2">紅綠燈!#REF!</definedName>
    <definedName name="外部資料_625" localSheetId="7">PKA!#REF!</definedName>
    <definedName name="外部資料_625" localSheetId="8">PKB!#REF!</definedName>
    <definedName name="外部資料_625" localSheetId="2">紅綠燈!#REF!</definedName>
    <definedName name="外部資料_626" localSheetId="7">PKA!#REF!</definedName>
    <definedName name="外部資料_626" localSheetId="8">PKB!#REF!</definedName>
    <definedName name="外部資料_627" localSheetId="7">PKA!#REF!</definedName>
    <definedName name="外部資料_627" localSheetId="8">PKB!#REF!</definedName>
    <definedName name="外部資料_627" localSheetId="2">紅綠燈!#REF!</definedName>
    <definedName name="外部資料_628" localSheetId="7">PKA!#REF!</definedName>
    <definedName name="外部資料_628" localSheetId="8">PKB!#REF!</definedName>
    <definedName name="外部資料_628" localSheetId="2">紅綠燈!#REF!</definedName>
    <definedName name="外部資料_629" localSheetId="7">PKA!#REF!</definedName>
    <definedName name="外部資料_629" localSheetId="8">PKB!#REF!</definedName>
    <definedName name="外部資料_629" localSheetId="2">紅綠燈!#REF!</definedName>
    <definedName name="外部資料_63" localSheetId="7">PKA!#REF!</definedName>
    <definedName name="外部資料_63" localSheetId="8">PKB!#REF!</definedName>
    <definedName name="外部資料_63" localSheetId="9">PKC!#REF!</definedName>
    <definedName name="外部資料_63" localSheetId="13">PSR!#REF!</definedName>
    <definedName name="外部資料_63" localSheetId="10">福邦!#REF!</definedName>
    <definedName name="外部資料_630" localSheetId="7">PKA!#REF!</definedName>
    <definedName name="外部資料_630" localSheetId="8">PKB!#REF!</definedName>
    <definedName name="外部資料_631" localSheetId="7">PKA!#REF!</definedName>
    <definedName name="外部資料_631" localSheetId="8">PKB!#REF!</definedName>
    <definedName name="外部資料_631" localSheetId="2">紅綠燈!#REF!</definedName>
    <definedName name="外部資料_632" localSheetId="7">PKA!#REF!</definedName>
    <definedName name="外部資料_632" localSheetId="8">PKB!#REF!</definedName>
    <definedName name="外部資料_632" localSheetId="2">紅綠燈!#REF!</definedName>
    <definedName name="外部資料_633" localSheetId="7">PKA!#REF!</definedName>
    <definedName name="外部資料_633" localSheetId="8">PKB!#REF!</definedName>
    <definedName name="外部資料_633" localSheetId="2">紅綠燈!#REF!</definedName>
    <definedName name="外部資料_634" localSheetId="7">PKA!#REF!</definedName>
    <definedName name="外部資料_634" localSheetId="8">PKB!#REF!</definedName>
    <definedName name="外部資料_635" localSheetId="7">PKA!#REF!</definedName>
    <definedName name="外部資料_635" localSheetId="8">PKB!#REF!</definedName>
    <definedName name="外部資料_635" localSheetId="2">紅綠燈!#REF!</definedName>
    <definedName name="外部資料_636" localSheetId="7">PKA!#REF!</definedName>
    <definedName name="外部資料_636" localSheetId="8">PKB!#REF!</definedName>
    <definedName name="外部資料_636" localSheetId="2">紅綠燈!#REF!</definedName>
    <definedName name="外部資料_637" localSheetId="7">PKA!#REF!</definedName>
    <definedName name="外部資料_637" localSheetId="8">PKB!#REF!</definedName>
    <definedName name="外部資料_637" localSheetId="2">紅綠燈!#REF!</definedName>
    <definedName name="外部資料_638" localSheetId="7">PKA!#REF!</definedName>
    <definedName name="外部資料_638" localSheetId="8">PKB!#REF!</definedName>
    <definedName name="外部資料_639" localSheetId="7">PKA!#REF!</definedName>
    <definedName name="外部資料_639" localSheetId="8">PKB!#REF!</definedName>
    <definedName name="外部資料_639" localSheetId="2">紅綠燈!#REF!</definedName>
    <definedName name="外部資料_64" localSheetId="7">PKA!#REF!</definedName>
    <definedName name="外部資料_64" localSheetId="8">PKB!#REF!</definedName>
    <definedName name="外部資料_64" localSheetId="9">PKC!#REF!</definedName>
    <definedName name="外部資料_64" localSheetId="13">PSR!#REF!</definedName>
    <definedName name="外部資料_64" localSheetId="2">紅綠燈!#REF!</definedName>
    <definedName name="外部資料_64" localSheetId="10">福邦!#REF!</definedName>
    <definedName name="外部資料_640" localSheetId="7">PKA!#REF!</definedName>
    <definedName name="外部資料_640" localSheetId="8">PKB!#REF!</definedName>
    <definedName name="外部資料_640" localSheetId="2">紅綠燈!#REF!</definedName>
    <definedName name="外部資料_641" localSheetId="7">PKA!#REF!</definedName>
    <definedName name="外部資料_641" localSheetId="8">PKB!#REF!</definedName>
    <definedName name="外部資料_641" localSheetId="2">紅綠燈!#REF!</definedName>
    <definedName name="外部資料_642" localSheetId="7">PKA!#REF!</definedName>
    <definedName name="外部資料_642" localSheetId="8">PKB!#REF!</definedName>
    <definedName name="外部資料_643" localSheetId="7">PKA!#REF!</definedName>
    <definedName name="外部資料_643" localSheetId="8">PKB!#REF!</definedName>
    <definedName name="外部資料_643" localSheetId="2">紅綠燈!#REF!</definedName>
    <definedName name="外部資料_644" localSheetId="7">PKA!#REF!</definedName>
    <definedName name="外部資料_644" localSheetId="8">PKB!#REF!</definedName>
    <definedName name="外部資料_644" localSheetId="2">紅綠燈!#REF!</definedName>
    <definedName name="外部資料_645" localSheetId="7">PKA!#REF!</definedName>
    <definedName name="外部資料_645" localSheetId="8">PKB!#REF!</definedName>
    <definedName name="外部資料_645" localSheetId="2">紅綠燈!#REF!</definedName>
    <definedName name="外部資料_646" localSheetId="7">PKA!#REF!</definedName>
    <definedName name="外部資料_646" localSheetId="8">PKB!#REF!</definedName>
    <definedName name="外部資料_647" localSheetId="7">PKA!#REF!</definedName>
    <definedName name="外部資料_647" localSheetId="8">PKB!#REF!</definedName>
    <definedName name="外部資料_647" localSheetId="2">紅綠燈!#REF!</definedName>
    <definedName name="外部資料_648" localSheetId="7">PKA!#REF!</definedName>
    <definedName name="外部資料_648" localSheetId="8">PKB!#REF!</definedName>
    <definedName name="外部資料_648" localSheetId="2">紅綠燈!#REF!</definedName>
    <definedName name="外部資料_649" localSheetId="7">PKA!#REF!</definedName>
    <definedName name="外部資料_649" localSheetId="8">PKB!#REF!</definedName>
    <definedName name="外部資料_649" localSheetId="2">紅綠燈!#REF!</definedName>
    <definedName name="外部資料_65" localSheetId="7">PKA!#REF!</definedName>
    <definedName name="外部資料_65" localSheetId="8">PKB!#REF!</definedName>
    <definedName name="外部資料_65" localSheetId="9">PKC!#REF!</definedName>
    <definedName name="外部資料_65" localSheetId="13">PSR!#REF!</definedName>
    <definedName name="外部資料_65" localSheetId="2">紅綠燈!#REF!</definedName>
    <definedName name="外部資料_65" localSheetId="10">福邦!#REF!</definedName>
    <definedName name="外部資料_650" localSheetId="7">PKA!#REF!</definedName>
    <definedName name="外部資料_650" localSheetId="8">PKB!#REF!</definedName>
    <definedName name="外部資料_651" localSheetId="7">PKA!#REF!</definedName>
    <definedName name="外部資料_651" localSheetId="8">PKB!#REF!</definedName>
    <definedName name="外部資料_651" localSheetId="2">紅綠燈!#REF!</definedName>
    <definedName name="外部資料_652" localSheetId="7">PKA!#REF!</definedName>
    <definedName name="外部資料_652" localSheetId="8">PKB!#REF!</definedName>
    <definedName name="外部資料_652" localSheetId="2">紅綠燈!#REF!</definedName>
    <definedName name="外部資料_653" localSheetId="7">PKA!#REF!</definedName>
    <definedName name="外部資料_653" localSheetId="8">PKB!#REF!</definedName>
    <definedName name="外部資料_653" localSheetId="2">紅綠燈!#REF!</definedName>
    <definedName name="外部資料_654" localSheetId="7">PKA!#REF!</definedName>
    <definedName name="外部資料_654" localSheetId="8">PKB!#REF!</definedName>
    <definedName name="外部資料_655" localSheetId="7">PKA!#REF!</definedName>
    <definedName name="外部資料_655" localSheetId="8">PKB!#REF!</definedName>
    <definedName name="外部資料_655" localSheetId="2">紅綠燈!#REF!</definedName>
    <definedName name="外部資料_656" localSheetId="7">PKA!#REF!</definedName>
    <definedName name="外部資料_656" localSheetId="8">PKB!#REF!</definedName>
    <definedName name="外部資料_656" localSheetId="2">紅綠燈!#REF!</definedName>
    <definedName name="外部資料_657" localSheetId="7">PKA!#REF!</definedName>
    <definedName name="外部資料_657" localSheetId="8">PKB!#REF!</definedName>
    <definedName name="外部資料_657" localSheetId="2">紅綠燈!#REF!</definedName>
    <definedName name="外部資料_658" localSheetId="7">PKA!#REF!</definedName>
    <definedName name="外部資料_658" localSheetId="8">PKB!#REF!</definedName>
    <definedName name="外部資料_659" localSheetId="7">PKA!#REF!</definedName>
    <definedName name="外部資料_659" localSheetId="8">PKB!#REF!</definedName>
    <definedName name="外部資料_659" localSheetId="2">紅綠燈!#REF!</definedName>
    <definedName name="外部資料_66" localSheetId="7">PKA!#REF!</definedName>
    <definedName name="外部資料_66" localSheetId="8">PKB!#REF!</definedName>
    <definedName name="外部資料_66" localSheetId="9">PKC!#REF!</definedName>
    <definedName name="外部資料_66" localSheetId="13">PSR!#REF!</definedName>
    <definedName name="外部資料_66" localSheetId="2">紅綠燈!#REF!</definedName>
    <definedName name="外部資料_660" localSheetId="7">PKA!#REF!</definedName>
    <definedName name="外部資料_660" localSheetId="8">PKB!#REF!</definedName>
    <definedName name="外部資料_660" localSheetId="2">紅綠燈!#REF!</definedName>
    <definedName name="外部資料_661" localSheetId="7">PKA!#REF!</definedName>
    <definedName name="外部資料_661" localSheetId="8">PKB!#REF!</definedName>
    <definedName name="外部資料_661" localSheetId="2">紅綠燈!#REF!</definedName>
    <definedName name="外部資料_662" localSheetId="7">PKA!#REF!</definedName>
    <definedName name="外部資料_662" localSheetId="8">PKB!#REF!</definedName>
    <definedName name="外部資料_663" localSheetId="7">PKA!#REF!</definedName>
    <definedName name="外部資料_663" localSheetId="8">PKB!#REF!</definedName>
    <definedName name="外部資料_663" localSheetId="2">紅綠燈!#REF!</definedName>
    <definedName name="外部資料_664" localSheetId="7">PKA!#REF!</definedName>
    <definedName name="外部資料_664" localSheetId="8">PKB!#REF!</definedName>
    <definedName name="外部資料_664" localSheetId="2">紅綠燈!#REF!</definedName>
    <definedName name="外部資料_665" localSheetId="7">PKA!#REF!</definedName>
    <definedName name="外部資料_665" localSheetId="8">PKB!#REF!</definedName>
    <definedName name="外部資料_665" localSheetId="2">紅綠燈!#REF!</definedName>
    <definedName name="外部資料_666" localSheetId="7">PKA!#REF!</definedName>
    <definedName name="外部資料_666" localSheetId="8">PKB!#REF!</definedName>
    <definedName name="外部資料_667" localSheetId="7">PKA!#REF!</definedName>
    <definedName name="外部資料_667" localSheetId="8">PKB!#REF!</definedName>
    <definedName name="外部資料_667" localSheetId="2">紅綠燈!#REF!</definedName>
    <definedName name="外部資料_668" localSheetId="7">PKA!#REF!</definedName>
    <definedName name="外部資料_668" localSheetId="8">PKB!#REF!</definedName>
    <definedName name="外部資料_668" localSheetId="2">紅綠燈!#REF!</definedName>
    <definedName name="外部資料_669" localSheetId="7">PKA!#REF!</definedName>
    <definedName name="外部資料_669" localSheetId="8">PKB!#REF!</definedName>
    <definedName name="外部資料_669" localSheetId="2">紅綠燈!#REF!</definedName>
    <definedName name="外部資料_67" localSheetId="7">PKA!#REF!</definedName>
    <definedName name="外部資料_67" localSheetId="8">PKB!#REF!</definedName>
    <definedName name="外部資料_67" localSheetId="9">PKC!#REF!</definedName>
    <definedName name="外部資料_67" localSheetId="13">PSR!#REF!</definedName>
    <definedName name="外部資料_67" localSheetId="2">紅綠燈!#REF!</definedName>
    <definedName name="外部資料_67" localSheetId="10">福邦!#REF!</definedName>
    <definedName name="外部資料_670" localSheetId="7">PKA!#REF!</definedName>
    <definedName name="外部資料_670" localSheetId="8">PKB!#REF!</definedName>
    <definedName name="外部資料_671" localSheetId="7">PKA!#REF!</definedName>
    <definedName name="外部資料_671" localSheetId="8">PKB!#REF!</definedName>
    <definedName name="外部資料_671" localSheetId="2">紅綠燈!#REF!</definedName>
    <definedName name="外部資料_672" localSheetId="7">PKA!#REF!</definedName>
    <definedName name="外部資料_672" localSheetId="8">PKB!#REF!</definedName>
    <definedName name="外部資料_672" localSheetId="2">紅綠燈!#REF!</definedName>
    <definedName name="外部資料_673" localSheetId="7">PKA!#REF!</definedName>
    <definedName name="外部資料_673" localSheetId="8">PKB!#REF!</definedName>
    <definedName name="外部資料_673" localSheetId="2">紅綠燈!#REF!</definedName>
    <definedName name="外部資料_674" localSheetId="7">PKA!#REF!</definedName>
    <definedName name="外部資料_674" localSheetId="8">PKB!#REF!</definedName>
    <definedName name="外部資料_675" localSheetId="7">PKA!#REF!</definedName>
    <definedName name="外部資料_675" localSheetId="8">PKB!#REF!</definedName>
    <definedName name="外部資料_675" localSheetId="2">紅綠燈!#REF!</definedName>
    <definedName name="外部資料_676" localSheetId="7">PKA!#REF!</definedName>
    <definedName name="外部資料_676" localSheetId="8">PKB!#REF!</definedName>
    <definedName name="外部資料_676" localSheetId="2">紅綠燈!#REF!</definedName>
    <definedName name="外部資料_677" localSheetId="7">PKA!#REF!</definedName>
    <definedName name="外部資料_677" localSheetId="8">PKB!#REF!</definedName>
    <definedName name="外部資料_677" localSheetId="2">紅綠燈!#REF!</definedName>
    <definedName name="外部資料_678" localSheetId="7">PKA!#REF!</definedName>
    <definedName name="外部資料_678" localSheetId="8">PKB!#REF!</definedName>
    <definedName name="外部資料_679" localSheetId="7">PKA!#REF!</definedName>
    <definedName name="外部資料_679" localSheetId="8">PKB!#REF!</definedName>
    <definedName name="外部資料_679" localSheetId="2">紅綠燈!#REF!</definedName>
    <definedName name="外部資料_68" localSheetId="7">PKA!#REF!</definedName>
    <definedName name="外部資料_68" localSheetId="8">PKB!#REF!</definedName>
    <definedName name="外部資料_68" localSheetId="9">PKC!#REF!</definedName>
    <definedName name="外部資料_68" localSheetId="13">PSR!#REF!</definedName>
    <definedName name="外部資料_68" localSheetId="2">紅綠燈!#REF!</definedName>
    <definedName name="外部資料_680" localSheetId="7">PKA!#REF!</definedName>
    <definedName name="外部資料_680" localSheetId="8">PKB!#REF!</definedName>
    <definedName name="外部資料_680" localSheetId="2">紅綠燈!#REF!</definedName>
    <definedName name="外部資料_681" localSheetId="7">PKA!#REF!</definedName>
    <definedName name="外部資料_681" localSheetId="8">PKB!#REF!</definedName>
    <definedName name="外部資料_682" localSheetId="7">PKA!#REF!</definedName>
    <definedName name="外部資料_682" localSheetId="8">PKB!#REF!</definedName>
    <definedName name="外部資料_682" localSheetId="2">紅綠燈!#REF!</definedName>
    <definedName name="外部資料_683" localSheetId="7">PKA!#REF!</definedName>
    <definedName name="外部資料_683" localSheetId="8">PKB!#REF!</definedName>
    <definedName name="外部資料_683" localSheetId="2">紅綠燈!#REF!</definedName>
    <definedName name="外部資料_684" localSheetId="7">PKA!#REF!</definedName>
    <definedName name="外部資料_684" localSheetId="8">PKB!#REF!</definedName>
    <definedName name="外部資料_684" localSheetId="2">紅綠燈!#REF!</definedName>
    <definedName name="外部資料_685" localSheetId="7">PKA!#REF!</definedName>
    <definedName name="外部資料_685" localSheetId="8">PKB!#REF!</definedName>
    <definedName name="外部資料_686" localSheetId="7">PKA!#REF!</definedName>
    <definedName name="外部資料_686" localSheetId="8">PKB!#REF!</definedName>
    <definedName name="外部資料_686" localSheetId="2">紅綠燈!#REF!</definedName>
    <definedName name="外部資料_687" localSheetId="7">PKA!#REF!</definedName>
    <definedName name="外部資料_687" localSheetId="8">PKB!#REF!</definedName>
    <definedName name="外部資料_687" localSheetId="2">紅綠燈!#REF!</definedName>
    <definedName name="外部資料_688" localSheetId="7">PKA!#REF!</definedName>
    <definedName name="外部資料_688" localSheetId="8">PKB!#REF!</definedName>
    <definedName name="外部資料_688" localSheetId="2">紅綠燈!#REF!</definedName>
    <definedName name="外部資料_689" localSheetId="7">PKA!#REF!</definedName>
    <definedName name="外部資料_689" localSheetId="8">PKB!#REF!</definedName>
    <definedName name="外部資料_69" localSheetId="7">PKA!#REF!</definedName>
    <definedName name="外部資料_69" localSheetId="8">PKB!#REF!</definedName>
    <definedName name="外部資料_69" localSheetId="9">PKC!#REF!</definedName>
    <definedName name="外部資料_69" localSheetId="13">PSR!#REF!</definedName>
    <definedName name="外部資料_69" localSheetId="2">紅綠燈!#REF!</definedName>
    <definedName name="外部資料_69" localSheetId="10">福邦!#REF!</definedName>
    <definedName name="外部資料_690" localSheetId="7">PKA!#REF!</definedName>
    <definedName name="外部資料_690" localSheetId="8">PKB!#REF!</definedName>
    <definedName name="外部資料_690" localSheetId="2">紅綠燈!#REF!</definedName>
    <definedName name="外部資料_691" localSheetId="7">PKA!#REF!</definedName>
    <definedName name="外部資料_691" localSheetId="8">PKB!#REF!</definedName>
    <definedName name="外部資料_691" localSheetId="2">紅綠燈!#REF!</definedName>
    <definedName name="外部資料_692" localSheetId="7">PKA!#REF!</definedName>
    <definedName name="外部資料_692" localSheetId="8">PKB!#REF!</definedName>
    <definedName name="外部資料_692" localSheetId="2">紅綠燈!#REF!</definedName>
    <definedName name="外部資料_693" localSheetId="7">PKA!#REF!</definedName>
    <definedName name="外部資料_693" localSheetId="8">PKB!#REF!</definedName>
    <definedName name="外部資料_694" localSheetId="7">PKA!#REF!</definedName>
    <definedName name="外部資料_694" localSheetId="8">PKB!#REF!</definedName>
    <definedName name="外部資料_694" localSheetId="2">紅綠燈!#REF!</definedName>
    <definedName name="外部資料_695" localSheetId="7">PKA!#REF!</definedName>
    <definedName name="外部資料_695" localSheetId="8">PKB!#REF!</definedName>
    <definedName name="外部資料_695" localSheetId="2">紅綠燈!#REF!</definedName>
    <definedName name="外部資料_696" localSheetId="7">PKA!#REF!</definedName>
    <definedName name="外部資料_696" localSheetId="8">PKB!#REF!</definedName>
    <definedName name="外部資料_696" localSheetId="2">紅綠燈!#REF!</definedName>
    <definedName name="外部資料_697" localSheetId="7">PKA!#REF!</definedName>
    <definedName name="外部資料_697" localSheetId="8">PKB!#REF!</definedName>
    <definedName name="外部資料_698" localSheetId="7">PKA!#REF!</definedName>
    <definedName name="外部資料_698" localSheetId="8">PKB!#REF!</definedName>
    <definedName name="外部資料_698" localSheetId="2">紅綠燈!#REF!</definedName>
    <definedName name="外部資料_699" localSheetId="7">PKA!#REF!</definedName>
    <definedName name="外部資料_699" localSheetId="8">PKB!#REF!</definedName>
    <definedName name="外部資料_699" localSheetId="2">紅綠燈!#REF!</definedName>
    <definedName name="外部資料_7" localSheetId="7">PKA!#REF!</definedName>
    <definedName name="外部資料_7" localSheetId="8">PKB!#REF!</definedName>
    <definedName name="外部資料_7" localSheetId="9">PKC!#REF!</definedName>
    <definedName name="外部資料_7" localSheetId="13">PSR!#REF!</definedName>
    <definedName name="外部資料_7" localSheetId="2">紅綠燈!#REF!</definedName>
    <definedName name="外部資料_7" localSheetId="3">評比系統!#REF!</definedName>
    <definedName name="外部資料_7" localSheetId="10">福邦!#REF!</definedName>
    <definedName name="外部資料_7" localSheetId="4">篩股系統!#REF!</definedName>
    <definedName name="外部資料_7" localSheetId="11">營收搶先報!#REF!</definedName>
    <definedName name="外部資料_70" localSheetId="7">PKA!#REF!</definedName>
    <definedName name="外部資料_70" localSheetId="8">PKB!#REF!</definedName>
    <definedName name="外部資料_70" localSheetId="9">PKC!#REF!</definedName>
    <definedName name="外部資料_70" localSheetId="13">PSR!#REF!</definedName>
    <definedName name="外部資料_70" localSheetId="2">紅綠燈!#REF!</definedName>
    <definedName name="外部資料_70" localSheetId="10">福邦!#REF!</definedName>
    <definedName name="外部資料_700" localSheetId="7">PKA!#REF!</definedName>
    <definedName name="外部資料_700" localSheetId="8">PKB!#REF!</definedName>
    <definedName name="外部資料_700" localSheetId="2">紅綠燈!#REF!</definedName>
    <definedName name="外部資料_701" localSheetId="7">PKA!#REF!</definedName>
    <definedName name="外部資料_701" localSheetId="8">PKB!#REF!</definedName>
    <definedName name="外部資料_702" localSheetId="7">PKA!#REF!</definedName>
    <definedName name="外部資料_702" localSheetId="8">PKB!#REF!</definedName>
    <definedName name="外部資料_702" localSheetId="2">紅綠燈!#REF!</definedName>
    <definedName name="外部資料_703" localSheetId="7">PKA!#REF!</definedName>
    <definedName name="外部資料_703" localSheetId="8">PKB!#REF!</definedName>
    <definedName name="外部資料_703" localSheetId="2">紅綠燈!#REF!</definedName>
    <definedName name="外部資料_704" localSheetId="7">PKA!#REF!</definedName>
    <definedName name="外部資料_704" localSheetId="8">PKB!#REF!</definedName>
    <definedName name="外部資料_704" localSheetId="2">紅綠燈!#REF!</definedName>
    <definedName name="外部資料_705" localSheetId="7">PKA!#REF!</definedName>
    <definedName name="外部資料_705" localSheetId="8">PKB!#REF!</definedName>
    <definedName name="外部資料_706" localSheetId="7">PKA!#REF!</definedName>
    <definedName name="外部資料_706" localSheetId="8">PKB!#REF!</definedName>
    <definedName name="外部資料_706" localSheetId="2">紅綠燈!#REF!</definedName>
    <definedName name="外部資料_707" localSheetId="7">PKA!#REF!</definedName>
    <definedName name="外部資料_707" localSheetId="8">PKB!#REF!</definedName>
    <definedName name="外部資料_707" localSheetId="2">紅綠燈!#REF!</definedName>
    <definedName name="外部資料_708" localSheetId="7">PKA!#REF!</definedName>
    <definedName name="外部資料_708" localSheetId="8">PKB!#REF!</definedName>
    <definedName name="外部資料_708" localSheetId="2">紅綠燈!#REF!</definedName>
    <definedName name="外部資料_709" localSheetId="7">PKA!#REF!</definedName>
    <definedName name="外部資料_709" localSheetId="8">PKB!#REF!</definedName>
    <definedName name="外部資料_71" localSheetId="7">PKA!#REF!</definedName>
    <definedName name="外部資料_71" localSheetId="8">PKB!#REF!</definedName>
    <definedName name="外部資料_71" localSheetId="9">PKC!#REF!</definedName>
    <definedName name="外部資料_71" localSheetId="13">PSR!#REF!</definedName>
    <definedName name="外部資料_71" localSheetId="2">紅綠燈!#REF!</definedName>
    <definedName name="外部資料_71" localSheetId="10">福邦!#REF!</definedName>
    <definedName name="外部資料_710" localSheetId="7">PKA!#REF!</definedName>
    <definedName name="外部資料_710" localSheetId="8">PKB!#REF!</definedName>
    <definedName name="外部資料_710" localSheetId="2">紅綠燈!#REF!</definedName>
    <definedName name="外部資料_711" localSheetId="7">PKA!#REF!</definedName>
    <definedName name="外部資料_711" localSheetId="8">PKB!#REF!</definedName>
    <definedName name="外部資料_711" localSheetId="2">紅綠燈!#REF!</definedName>
    <definedName name="外部資料_712" localSheetId="7">PKA!#REF!</definedName>
    <definedName name="外部資料_712" localSheetId="8">PKB!#REF!</definedName>
    <definedName name="外部資料_712" localSheetId="2">紅綠燈!#REF!</definedName>
    <definedName name="外部資料_713" localSheetId="7">PKA!#REF!</definedName>
    <definedName name="外部資料_713" localSheetId="8">PKB!#REF!</definedName>
    <definedName name="外部資料_714" localSheetId="7">PKA!#REF!</definedName>
    <definedName name="外部資料_714" localSheetId="8">PKB!#REF!</definedName>
    <definedName name="外部資料_714" localSheetId="2">紅綠燈!#REF!</definedName>
    <definedName name="外部資料_715" localSheetId="7">PKA!#REF!</definedName>
    <definedName name="外部資料_715" localSheetId="8">PKB!#REF!</definedName>
    <definedName name="外部資料_715" localSheetId="2">紅綠燈!#REF!</definedName>
    <definedName name="外部資料_716" localSheetId="7">PKA!#REF!</definedName>
    <definedName name="外部資料_716" localSheetId="8">PKB!#REF!</definedName>
    <definedName name="外部資料_716" localSheetId="2">紅綠燈!#REF!</definedName>
    <definedName name="外部資料_717" localSheetId="7">PKA!#REF!</definedName>
    <definedName name="外部資料_717" localSheetId="8">PKB!#REF!</definedName>
    <definedName name="外部資料_718" localSheetId="7">PKA!#REF!</definedName>
    <definedName name="外部資料_718" localSheetId="8">PKB!#REF!</definedName>
    <definedName name="外部資料_718" localSheetId="2">紅綠燈!#REF!</definedName>
    <definedName name="外部資料_719" localSheetId="7">PKA!#REF!</definedName>
    <definedName name="外部資料_719" localSheetId="8">PKB!#REF!</definedName>
    <definedName name="外部資料_719" localSheetId="2">紅綠燈!#REF!</definedName>
    <definedName name="外部資料_72" localSheetId="7">PKA!#REF!</definedName>
    <definedName name="外部資料_72" localSheetId="8">PKB!#REF!</definedName>
    <definedName name="外部資料_72" localSheetId="9">PKC!#REF!</definedName>
    <definedName name="外部資料_72" localSheetId="13">PSR!#REF!</definedName>
    <definedName name="外部資料_72" localSheetId="2">紅綠燈!#REF!</definedName>
    <definedName name="外部資料_72" localSheetId="10">福邦!#REF!</definedName>
    <definedName name="外部資料_720" localSheetId="7">PKA!#REF!</definedName>
    <definedName name="外部資料_720" localSheetId="8">PKB!#REF!</definedName>
    <definedName name="外部資料_720" localSheetId="2">紅綠燈!#REF!</definedName>
    <definedName name="外部資料_721" localSheetId="7">PKA!#REF!</definedName>
    <definedName name="外部資料_721" localSheetId="8">PKB!#REF!</definedName>
    <definedName name="外部資料_722" localSheetId="7">PKA!#REF!</definedName>
    <definedName name="外部資料_722" localSheetId="8">PKB!#REF!</definedName>
    <definedName name="外部資料_722" localSheetId="2">紅綠燈!#REF!</definedName>
    <definedName name="外部資料_723" localSheetId="7">PKA!#REF!</definedName>
    <definedName name="外部資料_723" localSheetId="8">PKB!#REF!</definedName>
    <definedName name="外部資料_723" localSheetId="2">紅綠燈!#REF!</definedName>
    <definedName name="外部資料_724" localSheetId="7">PKA!$A$1:$K$65</definedName>
    <definedName name="外部資料_724" localSheetId="8">PKB!#REF!</definedName>
    <definedName name="外部資料_724" localSheetId="2">紅綠燈!#REF!</definedName>
    <definedName name="外部資料_725" localSheetId="7">PKA!$A$100:$K$160</definedName>
    <definedName name="外部資料_725" localSheetId="8">PKB!#REF!</definedName>
    <definedName name="外部資料_726" localSheetId="7">PKA!$A$200:$K$247</definedName>
    <definedName name="外部資料_726" localSheetId="8">PKB!#REF!</definedName>
    <definedName name="外部資料_726" localSheetId="2">紅綠燈!#REF!</definedName>
    <definedName name="外部資料_727" localSheetId="8">PKB!#REF!</definedName>
    <definedName name="外部資料_727" localSheetId="2">紅綠燈!#REF!</definedName>
    <definedName name="外部資料_728" localSheetId="8">PKB!$A$1:$K$65</definedName>
    <definedName name="外部資料_728" localSheetId="2">紅綠燈!#REF!</definedName>
    <definedName name="外部資料_729" localSheetId="8">PKB!$A$100:$K$160</definedName>
    <definedName name="外部資料_73" localSheetId="7">PKA!#REF!</definedName>
    <definedName name="外部資料_73" localSheetId="8">PKB!#REF!</definedName>
    <definedName name="外部資料_73" localSheetId="9">PKC!#REF!</definedName>
    <definedName name="外部資料_73" localSheetId="13">PSR!#REF!</definedName>
    <definedName name="外部資料_73" localSheetId="2">紅綠燈!#REF!</definedName>
    <definedName name="外部資料_73" localSheetId="10">福邦!#REF!</definedName>
    <definedName name="外部資料_730" localSheetId="8">PKB!$A$200:$K$247</definedName>
    <definedName name="外部資料_730" localSheetId="2">紅綠燈!#REF!</definedName>
    <definedName name="外部資料_731" localSheetId="2">紅綠燈!#REF!</definedName>
    <definedName name="外部資料_732" localSheetId="2">紅綠燈!#REF!</definedName>
    <definedName name="外部資料_734" localSheetId="2">紅綠燈!#REF!</definedName>
    <definedName name="外部資料_735" localSheetId="2">紅綠燈!#REF!</definedName>
    <definedName name="外部資料_736" localSheetId="2">紅綠燈!#REF!</definedName>
    <definedName name="外部資料_738" localSheetId="2">紅綠燈!#REF!</definedName>
    <definedName name="外部資料_739" localSheetId="2">紅綠燈!#REF!</definedName>
    <definedName name="外部資料_74" localSheetId="7">PKA!#REF!</definedName>
    <definedName name="外部資料_74" localSheetId="8">PKB!#REF!</definedName>
    <definedName name="外部資料_74" localSheetId="9">PKC!#REF!</definedName>
    <definedName name="外部資料_74" localSheetId="13">PSR!#REF!</definedName>
    <definedName name="外部資料_74" localSheetId="2">紅綠燈!#REF!</definedName>
    <definedName name="外部資料_74" localSheetId="10">福邦!#REF!</definedName>
    <definedName name="外部資料_740" localSheetId="2">紅綠燈!#REF!</definedName>
    <definedName name="外部資料_742" localSheetId="2">紅綠燈!#REF!</definedName>
    <definedName name="外部資料_743" localSheetId="2">紅綠燈!#REF!</definedName>
    <definedName name="外部資料_744" localSheetId="2">紅綠燈!#REF!</definedName>
    <definedName name="外部資料_746" localSheetId="2">紅綠燈!#REF!</definedName>
    <definedName name="外部資料_747" localSheetId="2">紅綠燈!#REF!</definedName>
    <definedName name="外部資料_748" localSheetId="2">紅綠燈!#REF!</definedName>
    <definedName name="外部資料_75" localSheetId="7">PKA!#REF!</definedName>
    <definedName name="外部資料_75" localSheetId="8">PKB!#REF!</definedName>
    <definedName name="外部資料_75" localSheetId="9">PKC!#REF!</definedName>
    <definedName name="外部資料_75" localSheetId="13">PSR!#REF!</definedName>
    <definedName name="外部資料_75" localSheetId="10">福邦!#REF!</definedName>
    <definedName name="外部資料_750" localSheetId="2">紅綠燈!#REF!</definedName>
    <definedName name="外部資料_751" localSheetId="2">紅綠燈!#REF!</definedName>
    <definedName name="外部資料_752" localSheetId="2">紅綠燈!#REF!</definedName>
    <definedName name="外部資料_754" localSheetId="2">紅綠燈!#REF!</definedName>
    <definedName name="外部資料_755" localSheetId="2">紅綠燈!#REF!</definedName>
    <definedName name="外部資料_7550" localSheetId="2">紅綠燈!#REF!</definedName>
    <definedName name="外部資料_7551" localSheetId="2">紅綠燈!#REF!</definedName>
    <definedName name="外部資料_7552" localSheetId="2">紅綠燈!#REF!</definedName>
    <definedName name="外部資料_7554" localSheetId="2">紅綠燈!#REF!</definedName>
    <definedName name="外部資料_7555" localSheetId="2">紅綠燈!#REF!</definedName>
    <definedName name="外部資料_7556" localSheetId="2">紅綠燈!#REF!</definedName>
    <definedName name="外部資料_7559" localSheetId="2">紅綠燈!#REF!</definedName>
    <definedName name="外部資料_756" localSheetId="2">紅綠燈!#REF!</definedName>
    <definedName name="外部資料_7560" localSheetId="2">紅綠燈!#REF!</definedName>
    <definedName name="外部資料_7562" localSheetId="2">紅綠燈!#REF!</definedName>
    <definedName name="外部資料_7563" localSheetId="2">紅綠燈!#REF!</definedName>
    <definedName name="外部資料_7564" localSheetId="2">紅綠燈!#REF!</definedName>
    <definedName name="外部資料_7566" localSheetId="2">紅綠燈!#REF!</definedName>
    <definedName name="外部資料_7567" localSheetId="2">紅綠燈!#REF!</definedName>
    <definedName name="外部資料_7568" localSheetId="2">紅綠燈!#REF!</definedName>
    <definedName name="外部資料_7570" localSheetId="2">紅綠燈!#REF!</definedName>
    <definedName name="外部資料_7571" localSheetId="2">紅綠燈!#REF!</definedName>
    <definedName name="外部資料_7572" localSheetId="2">紅綠燈!#REF!</definedName>
    <definedName name="外部資料_7574" localSheetId="2">紅綠燈!#REF!</definedName>
    <definedName name="外部資料_7575" localSheetId="2">紅綠燈!#REF!</definedName>
    <definedName name="外部資料_7576" localSheetId="2">紅綠燈!#REF!</definedName>
    <definedName name="外部資料_7578" localSheetId="2">紅綠燈!#REF!</definedName>
    <definedName name="外部資料_7579" localSheetId="2">紅綠燈!#REF!</definedName>
    <definedName name="外部資料_758" localSheetId="2">紅綠燈!#REF!</definedName>
    <definedName name="外部資料_7580" localSheetId="2">紅綠燈!#REF!</definedName>
    <definedName name="外部資料_7582" localSheetId="2">紅綠燈!#REF!</definedName>
    <definedName name="外部資料_7583" localSheetId="2">紅綠燈!#REF!</definedName>
    <definedName name="外部資料_7585" localSheetId="2">紅綠燈!#REF!</definedName>
    <definedName name="外部資料_7586" localSheetId="2">紅綠燈!#REF!</definedName>
    <definedName name="外部資料_7587" localSheetId="2">紅綠燈!#REF!</definedName>
    <definedName name="外部資料_7589" localSheetId="2">紅綠燈!#REF!</definedName>
    <definedName name="外部資料_759" localSheetId="2">紅綠燈!#REF!</definedName>
    <definedName name="外部資料_7590" localSheetId="2">紅綠燈!#REF!</definedName>
    <definedName name="外部資料_7591" localSheetId="2">紅綠燈!#REF!</definedName>
    <definedName name="外部資料_7593" localSheetId="2">紅綠燈!#REF!</definedName>
    <definedName name="外部資料_7594" localSheetId="2">紅綠燈!#REF!</definedName>
    <definedName name="外部資料_7596" localSheetId="2">紅綠燈!#REF!</definedName>
    <definedName name="外部資料_7597" localSheetId="2">紅綠燈!#REF!</definedName>
    <definedName name="外部資料_7598" localSheetId="2">紅綠燈!#REF!</definedName>
    <definedName name="外部資料_76" localSheetId="7">PKA!#REF!</definedName>
    <definedName name="外部資料_76" localSheetId="8">PKB!#REF!</definedName>
    <definedName name="外部資料_76" localSheetId="9">PKC!#REF!</definedName>
    <definedName name="外部資料_76" localSheetId="13">PSR!#REF!</definedName>
    <definedName name="外部資料_76" localSheetId="2">紅綠燈!#REF!</definedName>
    <definedName name="外部資料_76" localSheetId="10">福邦!#REF!</definedName>
    <definedName name="外部資料_76" localSheetId="4">篩股系統!$C$3:$S$56</definedName>
    <definedName name="外部資料_760" localSheetId="2">紅綠燈!#REF!</definedName>
    <definedName name="外部資料_7600" localSheetId="2">紅綠燈!#REF!</definedName>
    <definedName name="外部資料_7601" localSheetId="2">紅綠燈!#REF!</definedName>
    <definedName name="外部資料_7602" localSheetId="2">紅綠燈!#REF!</definedName>
    <definedName name="外部資料_7604" localSheetId="2">紅綠燈!#REF!</definedName>
    <definedName name="外部資料_7605" localSheetId="2">紅綠燈!#REF!</definedName>
    <definedName name="外部資料_7606" localSheetId="2">紅綠燈!#REF!</definedName>
    <definedName name="外部資料_7608" localSheetId="2">紅綠燈!#REF!</definedName>
    <definedName name="外部資料_7609" localSheetId="2">紅綠燈!#REF!</definedName>
    <definedName name="外部資料_7610" localSheetId="2">紅綠燈!#REF!</definedName>
    <definedName name="外部資料_7612" localSheetId="2">紅綠燈!#REF!</definedName>
    <definedName name="外部資料_7613" localSheetId="2">紅綠燈!#REF!</definedName>
    <definedName name="外部資料_7614" localSheetId="2">紅綠燈!#REF!</definedName>
    <definedName name="外部資料_7616" localSheetId="2">紅綠燈!#REF!</definedName>
    <definedName name="外部資料_7617" localSheetId="2">紅綠燈!#REF!</definedName>
    <definedName name="外部資料_7618" localSheetId="2">紅綠燈!#REF!</definedName>
    <definedName name="外部資料_762" localSheetId="2">紅綠燈!#REF!</definedName>
    <definedName name="外部資料_7620" localSheetId="2">紅綠燈!#REF!</definedName>
    <definedName name="外部資料_7621" localSheetId="2">紅綠燈!#REF!</definedName>
    <definedName name="外部資料_7622" localSheetId="2">紅綠燈!#REF!</definedName>
    <definedName name="外部資料_7624" localSheetId="2">紅綠燈!#REF!</definedName>
    <definedName name="外部資料_7625" localSheetId="2">紅綠燈!#REF!</definedName>
    <definedName name="外部資料_7626" localSheetId="2">紅綠燈!#REF!</definedName>
    <definedName name="外部資料_7628" localSheetId="2">紅綠燈!#REF!</definedName>
    <definedName name="外部資料_7629" localSheetId="2">紅綠燈!#REF!</definedName>
    <definedName name="外部資料_763" localSheetId="2">紅綠燈!#REF!</definedName>
    <definedName name="外部資料_7630" localSheetId="2">紅綠燈!#REF!</definedName>
    <definedName name="外部資料_7632" localSheetId="2">紅綠燈!#REF!</definedName>
    <definedName name="外部資料_7633" localSheetId="2">紅綠燈!#REF!</definedName>
    <definedName name="外部資料_7634" localSheetId="2">紅綠燈!#REF!</definedName>
    <definedName name="外部資料_7636" localSheetId="2">紅綠燈!#REF!</definedName>
    <definedName name="外部資料_7637" localSheetId="2">紅綠燈!#REF!</definedName>
    <definedName name="外部資料_7638" localSheetId="2">紅綠燈!#REF!</definedName>
    <definedName name="外部資料_764" localSheetId="2">紅綠燈!#REF!</definedName>
    <definedName name="外部資料_7640" localSheetId="2">紅綠燈!#REF!</definedName>
    <definedName name="外部資料_7641" localSheetId="2">紅綠燈!#REF!</definedName>
    <definedName name="外部資料_7642" localSheetId="2">紅綠燈!#REF!</definedName>
    <definedName name="外部資料_7644" localSheetId="2">紅綠燈!#REF!</definedName>
    <definedName name="外部資料_7645" localSheetId="2">紅綠燈!#REF!</definedName>
    <definedName name="外部資料_7646" localSheetId="2">紅綠燈!#REF!</definedName>
    <definedName name="外部資料_7648" localSheetId="2">紅綠燈!#REF!</definedName>
    <definedName name="外部資料_7649" localSheetId="2">紅綠燈!#REF!</definedName>
    <definedName name="外部資料_7650" localSheetId="2">紅綠燈!#REF!</definedName>
    <definedName name="外部資料_7652" localSheetId="2">紅綠燈!#REF!</definedName>
    <definedName name="外部資料_7653" localSheetId="2">紅綠燈!#REF!</definedName>
    <definedName name="外部資料_7654" localSheetId="2">紅綠燈!#REF!</definedName>
    <definedName name="外部資料_7656" localSheetId="2">紅綠燈!#REF!</definedName>
    <definedName name="外部資料_7657" localSheetId="2">紅綠燈!#REF!</definedName>
    <definedName name="外部資料_7658" localSheetId="2">紅綠燈!#REF!</definedName>
    <definedName name="外部資料_766" localSheetId="2">紅綠燈!#REF!</definedName>
    <definedName name="外部資料_7660" localSheetId="2">紅綠燈!#REF!</definedName>
    <definedName name="外部資料_7661" localSheetId="2">紅綠燈!#REF!</definedName>
    <definedName name="外部資料_7662" localSheetId="2">紅綠燈!#REF!</definedName>
    <definedName name="外部資料_7664" localSheetId="2">紅綠燈!#REF!</definedName>
    <definedName name="外部資料_7665" localSheetId="2">紅綠燈!#REF!</definedName>
    <definedName name="外部資料_7666" localSheetId="2">紅綠燈!#REF!</definedName>
    <definedName name="外部資料_7668" localSheetId="2">紅綠燈!#REF!</definedName>
    <definedName name="外部資料_7669" localSheetId="2">紅綠燈!#REF!</definedName>
    <definedName name="外部資料_767" localSheetId="2">紅綠燈!#REF!</definedName>
    <definedName name="外部資料_7670" localSheetId="2">紅綠燈!#REF!</definedName>
    <definedName name="外部資料_7672" localSheetId="2">紅綠燈!#REF!</definedName>
    <definedName name="外部資料_7673" localSheetId="2">紅綠燈!#REF!</definedName>
    <definedName name="外部資料_7674" localSheetId="2">紅綠燈!#REF!</definedName>
    <definedName name="外部資料_7676" localSheetId="2">紅綠燈!#REF!</definedName>
    <definedName name="外部資料_7677" localSheetId="2">紅綠燈!#REF!</definedName>
    <definedName name="外部資料_7678" localSheetId="2">紅綠燈!#REF!</definedName>
    <definedName name="外部資料_768" localSheetId="2">紅綠燈!#REF!</definedName>
    <definedName name="外部資料_7680" localSheetId="2">紅綠燈!#REF!</definedName>
    <definedName name="外部資料_7681" localSheetId="2">紅綠燈!#REF!</definedName>
    <definedName name="外部資料_7682" localSheetId="2">紅綠燈!#REF!</definedName>
    <definedName name="外部資料_7684" localSheetId="2">紅綠燈!#REF!</definedName>
    <definedName name="外部資料_7685" localSheetId="2">紅綠燈!#REF!</definedName>
    <definedName name="外部資料_7687" localSheetId="2">紅綠燈!#REF!</definedName>
    <definedName name="外部資料_7688" localSheetId="2">紅綠燈!#REF!</definedName>
    <definedName name="外部資料_7689" localSheetId="2">紅綠燈!#REF!</definedName>
    <definedName name="外部資料_7691" localSheetId="2">紅綠燈!#REF!</definedName>
    <definedName name="外部資料_7692" localSheetId="2">紅綠燈!#REF!</definedName>
    <definedName name="外部資料_7693" localSheetId="2">紅綠燈!#REF!</definedName>
    <definedName name="外部資料_7695" localSheetId="2">紅綠燈!#REF!</definedName>
    <definedName name="外部資料_7696" localSheetId="2">紅綠燈!#REF!</definedName>
    <definedName name="外部資料_7697" localSheetId="2">紅綠燈!#REF!</definedName>
    <definedName name="外部資料_7699" localSheetId="2">紅綠燈!#REF!</definedName>
    <definedName name="外部資料_77" localSheetId="7">PKA!#REF!</definedName>
    <definedName name="外部資料_77" localSheetId="8">PKB!#REF!</definedName>
    <definedName name="外部資料_77" localSheetId="9">PKC!#REF!</definedName>
    <definedName name="外部資料_77" localSheetId="13">PSR!#REF!</definedName>
    <definedName name="外部資料_77" localSheetId="2">紅綠燈!#REF!</definedName>
    <definedName name="外部資料_77" localSheetId="10">福邦!#REF!</definedName>
    <definedName name="外部資料_770" localSheetId="2">紅綠燈!#REF!</definedName>
    <definedName name="外部資料_7700" localSheetId="2">紅綠燈!#REF!</definedName>
    <definedName name="外部資料_7701" localSheetId="2">紅綠燈!#REF!</definedName>
    <definedName name="外部資料_7703" localSheetId="2">紅綠燈!#REF!</definedName>
    <definedName name="外部資料_7704" localSheetId="2">紅綠燈!#REF!</definedName>
    <definedName name="外部資料_7705" localSheetId="2">紅綠燈!#REF!</definedName>
    <definedName name="外部資料_7707" localSheetId="2">紅綠燈!#REF!</definedName>
    <definedName name="外部資料_7708" localSheetId="2">紅綠燈!#REF!</definedName>
    <definedName name="外部資料_7709" localSheetId="2">紅綠燈!#REF!</definedName>
    <definedName name="外部資料_771" localSheetId="2">紅綠燈!#REF!</definedName>
    <definedName name="外部資料_7711" localSheetId="2">紅綠燈!#REF!</definedName>
    <definedName name="外部資料_7712" localSheetId="2">紅綠燈!#REF!</definedName>
    <definedName name="外部資料_7713" localSheetId="2">紅綠燈!#REF!</definedName>
    <definedName name="外部資料_7715" localSheetId="2">紅綠燈!#REF!</definedName>
    <definedName name="外部資料_7716" localSheetId="2">紅綠燈!#REF!</definedName>
    <definedName name="外部資料_7717" localSheetId="2">紅綠燈!#REF!</definedName>
    <definedName name="外部資料_7719" localSheetId="2">紅綠燈!#REF!</definedName>
    <definedName name="外部資料_772" localSheetId="2">紅綠燈!#REF!</definedName>
    <definedName name="外部資料_7720" localSheetId="2">紅綠燈!#REF!</definedName>
    <definedName name="外部資料_7721" localSheetId="2">紅綠燈!#REF!</definedName>
    <definedName name="外部資料_7723" localSheetId="2">紅綠燈!#REF!</definedName>
    <definedName name="外部資料_7724" localSheetId="2">紅綠燈!#REF!</definedName>
    <definedName name="外部資料_7725" localSheetId="2">紅綠燈!#REF!</definedName>
    <definedName name="外部資料_7727" localSheetId="2">紅綠燈!#REF!</definedName>
    <definedName name="外部資料_7728" localSheetId="2">紅綠燈!#REF!</definedName>
    <definedName name="外部資料_7729" localSheetId="2">紅綠燈!#REF!</definedName>
    <definedName name="外部資料_7731" localSheetId="2">紅綠燈!#REF!</definedName>
    <definedName name="外部資料_7732" localSheetId="2">紅綠燈!#REF!</definedName>
    <definedName name="外部資料_7733" localSheetId="2">紅綠燈!#REF!</definedName>
    <definedName name="外部資料_7735" localSheetId="2">紅綠燈!#REF!</definedName>
    <definedName name="外部資料_7736" localSheetId="2">紅綠燈!#REF!</definedName>
    <definedName name="外部資料_7737" localSheetId="2">紅綠燈!#REF!</definedName>
    <definedName name="外部資料_7739" localSheetId="2">紅綠燈!#REF!</definedName>
    <definedName name="外部資料_774" localSheetId="2">紅綠燈!#REF!</definedName>
    <definedName name="外部資料_7740" localSheetId="2">紅綠燈!#REF!</definedName>
    <definedName name="外部資料_7741" localSheetId="2">紅綠燈!#REF!</definedName>
    <definedName name="外部資料_7743" localSheetId="2">紅綠燈!#REF!</definedName>
    <definedName name="外部資料_7744" localSheetId="2">紅綠燈!#REF!</definedName>
    <definedName name="外部資料_7745" localSheetId="2">紅綠燈!#REF!</definedName>
    <definedName name="外部資料_7747" localSheetId="2">紅綠燈!#REF!</definedName>
    <definedName name="外部資料_7748" localSheetId="2">紅綠燈!#REF!</definedName>
    <definedName name="外部資料_7749" localSheetId="2">紅綠燈!#REF!</definedName>
    <definedName name="外部資料_775" localSheetId="2">紅綠燈!#REF!</definedName>
    <definedName name="外部資料_7751" localSheetId="2">紅綠燈!#REF!</definedName>
    <definedName name="外部資料_7752" localSheetId="2">紅綠燈!#REF!</definedName>
    <definedName name="外部資料_7753" localSheetId="2">紅綠燈!#REF!</definedName>
    <definedName name="外部資料_7755" localSheetId="2">紅綠燈!#REF!</definedName>
    <definedName name="外部資料_7756" localSheetId="2">紅綠燈!#REF!</definedName>
    <definedName name="外部資料_7757" localSheetId="2">紅綠燈!#REF!</definedName>
    <definedName name="外部資料_7759" localSheetId="2">紅綠燈!#REF!</definedName>
    <definedName name="外部資料_776" localSheetId="2">紅綠燈!#REF!</definedName>
    <definedName name="外部資料_7760" localSheetId="2">紅綠燈!#REF!</definedName>
    <definedName name="外部資料_7761" localSheetId="2">紅綠燈!#REF!</definedName>
    <definedName name="外部資料_7763" localSheetId="2">紅綠燈!#REF!</definedName>
    <definedName name="外部資料_7764" localSheetId="2">紅綠燈!#REF!</definedName>
    <definedName name="外部資料_7765" localSheetId="2">紅綠燈!#REF!</definedName>
    <definedName name="外部資料_7767" localSheetId="2">紅綠燈!#REF!</definedName>
    <definedName name="外部資料_7768" localSheetId="2">紅綠燈!#REF!</definedName>
    <definedName name="外部資料_7769" localSheetId="2">紅綠燈!#REF!</definedName>
    <definedName name="外部資料_7771" localSheetId="2">紅綠燈!#REF!</definedName>
    <definedName name="外部資料_7772" localSheetId="2">紅綠燈!#REF!</definedName>
    <definedName name="外部資料_7773" localSheetId="2">紅綠燈!#REF!</definedName>
    <definedName name="外部資料_7775" localSheetId="2">紅綠燈!#REF!</definedName>
    <definedName name="外部資料_7776" localSheetId="2">紅綠燈!#REF!</definedName>
    <definedName name="外部資料_7777" localSheetId="2">紅綠燈!#REF!</definedName>
    <definedName name="外部資料_7779" localSheetId="2">紅綠燈!#REF!</definedName>
    <definedName name="外部資料_778" localSheetId="2">紅綠燈!#REF!</definedName>
    <definedName name="外部資料_7780" localSheetId="2">紅綠燈!#REF!</definedName>
    <definedName name="外部資料_7781" localSheetId="2">紅綠燈!#REF!</definedName>
    <definedName name="外部資料_7783" localSheetId="2">紅綠燈!#REF!</definedName>
    <definedName name="外部資料_7784" localSheetId="2">紅綠燈!#REF!</definedName>
    <definedName name="外部資料_7785" localSheetId="2">紅綠燈!#REF!</definedName>
    <definedName name="外部資料_7787" localSheetId="2">紅綠燈!#REF!</definedName>
    <definedName name="外部資料_7788" localSheetId="2">紅綠燈!#REF!</definedName>
    <definedName name="外部資料_7789" localSheetId="2">紅綠燈!#REF!</definedName>
    <definedName name="外部資料_779" localSheetId="2">紅綠燈!#REF!</definedName>
    <definedName name="外部資料_7791" localSheetId="2">紅綠燈!#REF!</definedName>
    <definedName name="外部資料_7792" localSheetId="2">紅綠燈!#REF!</definedName>
    <definedName name="外部資料_7793" localSheetId="2">紅綠燈!#REF!</definedName>
    <definedName name="外部資料_7795" localSheetId="2">紅綠燈!#REF!</definedName>
    <definedName name="外部資料_7796" localSheetId="2">紅綠燈!#REF!</definedName>
    <definedName name="外部資料_7797" localSheetId="2">紅綠燈!#REF!</definedName>
    <definedName name="外部資料_7799" localSheetId="2">紅綠燈!#REF!</definedName>
    <definedName name="外部資料_78" localSheetId="7">PKA!#REF!</definedName>
    <definedName name="外部資料_78" localSheetId="8">PKB!#REF!</definedName>
    <definedName name="外部資料_78" localSheetId="9">PKC!#REF!</definedName>
    <definedName name="外部資料_78" localSheetId="13">PSR!#REF!</definedName>
    <definedName name="外部資料_78" localSheetId="2">紅綠燈!#REF!</definedName>
    <definedName name="外部資料_78" localSheetId="10">福邦!#REF!</definedName>
    <definedName name="外部資料_780" localSheetId="2">紅綠燈!#REF!</definedName>
    <definedName name="外部資料_7800" localSheetId="2">紅綠燈!#REF!</definedName>
    <definedName name="外部資料_7801" localSheetId="2">紅綠燈!#REF!</definedName>
    <definedName name="外部資料_7803" localSheetId="2">紅綠燈!#REF!</definedName>
    <definedName name="外部資料_7804" localSheetId="2">紅綠燈!#REF!</definedName>
    <definedName name="外部資料_7805" localSheetId="2">紅綠燈!#REF!</definedName>
    <definedName name="外部資料_7807" localSheetId="2">紅綠燈!#REF!</definedName>
    <definedName name="外部資料_7808" localSheetId="2">紅綠燈!#REF!</definedName>
    <definedName name="外部資料_7809" localSheetId="2">紅綠燈!#REF!</definedName>
    <definedName name="外部資料_7811" localSheetId="2">紅綠燈!#REF!</definedName>
    <definedName name="外部資料_7812" localSheetId="2">紅綠燈!#REF!</definedName>
    <definedName name="外部資料_7813" localSheetId="2">紅綠燈!#REF!</definedName>
    <definedName name="外部資料_7815" localSheetId="2">紅綠燈!#REF!</definedName>
    <definedName name="外部資料_7816" localSheetId="2">紅綠燈!#REF!</definedName>
    <definedName name="外部資料_7817" localSheetId="2">紅綠燈!#REF!</definedName>
    <definedName name="外部資料_7819" localSheetId="2">紅綠燈!#REF!</definedName>
    <definedName name="外部資料_782" localSheetId="2">紅綠燈!#REF!</definedName>
    <definedName name="外部資料_7820" localSheetId="2">紅綠燈!#REF!</definedName>
    <definedName name="外部資料_7821" localSheetId="2">紅綠燈!#REF!</definedName>
    <definedName name="外部資料_7823" localSheetId="2">紅綠燈!#REF!</definedName>
    <definedName name="外部資料_7824" localSheetId="2">紅綠燈!#REF!</definedName>
    <definedName name="外部資料_7825" localSheetId="2">紅綠燈!#REF!</definedName>
    <definedName name="外部資料_7827" localSheetId="2">紅綠燈!#REF!</definedName>
    <definedName name="外部資料_7828" localSheetId="2">紅綠燈!#REF!</definedName>
    <definedName name="外部資料_7829" localSheetId="2">紅綠燈!#REF!</definedName>
    <definedName name="外部資料_783" localSheetId="2">紅綠燈!#REF!</definedName>
    <definedName name="外部資料_7831" localSheetId="2">紅綠燈!#REF!</definedName>
    <definedName name="外部資料_7832" localSheetId="2">紅綠燈!#REF!</definedName>
    <definedName name="外部資料_7833" localSheetId="2">紅綠燈!#REF!</definedName>
    <definedName name="外部資料_7835" localSheetId="2">紅綠燈!#REF!</definedName>
    <definedName name="外部資料_7836" localSheetId="2">紅綠燈!#REF!</definedName>
    <definedName name="外部資料_7837" localSheetId="2">紅綠燈!#REF!</definedName>
    <definedName name="外部資料_7839" localSheetId="2">紅綠燈!#REF!</definedName>
    <definedName name="外部資料_784" localSheetId="2">紅綠燈!#REF!</definedName>
    <definedName name="外部資料_7840" localSheetId="2">紅綠燈!#REF!</definedName>
    <definedName name="外部資料_7841" localSheetId="2">紅綠燈!#REF!</definedName>
    <definedName name="外部資料_7843" localSheetId="2">紅綠燈!#REF!</definedName>
    <definedName name="外部資料_7844" localSheetId="2">紅綠燈!#REF!</definedName>
    <definedName name="外部資料_7845" localSheetId="2">紅綠燈!#REF!</definedName>
    <definedName name="外部資料_7847" localSheetId="2">紅綠燈!#REF!</definedName>
    <definedName name="外部資料_7848" localSheetId="2">紅綠燈!#REF!</definedName>
    <definedName name="外部資料_7849" localSheetId="2">紅綠燈!#REF!</definedName>
    <definedName name="外部資料_7851" localSheetId="2">紅綠燈!#REF!</definedName>
    <definedName name="外部資料_7852" localSheetId="2">紅綠燈!#REF!</definedName>
    <definedName name="外部資料_7853" localSheetId="2">紅綠燈!#REF!</definedName>
    <definedName name="外部資料_7855" localSheetId="2">紅綠燈!#REF!</definedName>
    <definedName name="外部資料_7856" localSheetId="2">紅綠燈!#REF!</definedName>
    <definedName name="外部資料_7857" localSheetId="2">紅綠燈!#REF!</definedName>
    <definedName name="外部資料_7859" localSheetId="2">紅綠燈!#REF!</definedName>
    <definedName name="外部資料_786" localSheetId="2">紅綠燈!#REF!</definedName>
    <definedName name="外部資料_7860" localSheetId="2">紅綠燈!#REF!</definedName>
    <definedName name="外部資料_7861" localSheetId="2">紅綠燈!#REF!</definedName>
    <definedName name="外部資料_7863" localSheetId="2">紅綠燈!#REF!</definedName>
    <definedName name="外部資料_7864" localSheetId="2">紅綠燈!#REF!</definedName>
    <definedName name="外部資料_7865" localSheetId="2">紅綠燈!#REF!</definedName>
    <definedName name="外部資料_7867" localSheetId="2">紅綠燈!#REF!</definedName>
    <definedName name="外部資料_7868" localSheetId="2">紅綠燈!#REF!</definedName>
    <definedName name="外部資料_7869" localSheetId="2">紅綠燈!#REF!</definedName>
    <definedName name="外部資料_787" localSheetId="2">紅綠燈!#REF!</definedName>
    <definedName name="外部資料_7871" localSheetId="2">紅綠燈!#REF!</definedName>
    <definedName name="外部資料_7872" localSheetId="2">紅綠燈!#REF!</definedName>
    <definedName name="外部資料_7873" localSheetId="2">紅綠燈!#REF!</definedName>
    <definedName name="外部資料_7875" localSheetId="2">紅綠燈!#REF!</definedName>
    <definedName name="外部資料_7876" localSheetId="2">紅綠燈!#REF!</definedName>
    <definedName name="外部資料_7877" localSheetId="2">紅綠燈!#REF!</definedName>
    <definedName name="外部資料_7879" localSheetId="2">紅綠燈!#REF!</definedName>
    <definedName name="外部資料_788" localSheetId="2">紅綠燈!#REF!</definedName>
    <definedName name="外部資料_7880" localSheetId="2">紅綠燈!#REF!</definedName>
    <definedName name="外部資料_7881" localSheetId="2">紅綠燈!#REF!</definedName>
    <definedName name="外部資料_7883" localSheetId="2">紅綠燈!#REF!</definedName>
    <definedName name="外部資料_7884" localSheetId="2">紅綠燈!#REF!</definedName>
    <definedName name="外部資料_7885" localSheetId="2">紅綠燈!#REF!</definedName>
    <definedName name="外部資料_7887" localSheetId="2">紅綠燈!#REF!</definedName>
    <definedName name="外部資料_7888" localSheetId="2">紅綠燈!#REF!</definedName>
    <definedName name="外部資料_7889" localSheetId="2">紅綠燈!#REF!</definedName>
    <definedName name="外部資料_7891" localSheetId="2">紅綠燈!#REF!</definedName>
    <definedName name="外部資料_7892" localSheetId="2">紅綠燈!#REF!</definedName>
    <definedName name="外部資料_7893" localSheetId="2">紅綠燈!#REF!</definedName>
    <definedName name="外部資料_7895" localSheetId="2">紅綠燈!#REF!</definedName>
    <definedName name="外部資料_7896" localSheetId="2">紅綠燈!#REF!</definedName>
    <definedName name="外部資料_7897" localSheetId="2">紅綠燈!#REF!</definedName>
    <definedName name="外部資料_7899" localSheetId="2">紅綠燈!#REF!</definedName>
    <definedName name="外部資料_79" localSheetId="7">PKA!#REF!</definedName>
    <definedName name="外部資料_79" localSheetId="8">PKB!#REF!</definedName>
    <definedName name="外部資料_79" localSheetId="9">PKC!#REF!</definedName>
    <definedName name="外部資料_79" localSheetId="13">PSR!#REF!</definedName>
    <definedName name="外部資料_79" localSheetId="10">福邦!#REF!</definedName>
    <definedName name="外部資料_790" localSheetId="2">紅綠燈!#REF!</definedName>
    <definedName name="外部資料_7900" localSheetId="2">紅綠燈!#REF!</definedName>
    <definedName name="外部資料_7901" localSheetId="2">紅綠燈!#REF!</definedName>
    <definedName name="外部資料_7903" localSheetId="2">紅綠燈!#REF!</definedName>
    <definedName name="外部資料_7904" localSheetId="2">紅綠燈!#REF!</definedName>
    <definedName name="外部資料_7905" localSheetId="2">紅綠燈!#REF!</definedName>
    <definedName name="外部資料_7907" localSheetId="2">紅綠燈!#REF!</definedName>
    <definedName name="外部資料_7908" localSheetId="2">紅綠燈!#REF!</definedName>
    <definedName name="外部資料_7909" localSheetId="2">紅綠燈!#REF!</definedName>
    <definedName name="外部資料_791" localSheetId="2">紅綠燈!#REF!</definedName>
    <definedName name="外部資料_7911" localSheetId="2">紅綠燈!#REF!</definedName>
    <definedName name="外部資料_7912" localSheetId="2">紅綠燈!#REF!</definedName>
    <definedName name="外部資料_7913" localSheetId="2">紅綠燈!#REF!</definedName>
    <definedName name="外部資料_7915" localSheetId="2">紅綠燈!#REF!</definedName>
    <definedName name="外部資料_7916" localSheetId="2">紅綠燈!#REF!</definedName>
    <definedName name="外部資料_7917" localSheetId="2">紅綠燈!#REF!</definedName>
    <definedName name="外部資料_7919" localSheetId="2">紅綠燈!#REF!</definedName>
    <definedName name="外部資料_792" localSheetId="2">紅綠燈!#REF!</definedName>
    <definedName name="外部資料_7920" localSheetId="2">紅綠燈!#REF!</definedName>
    <definedName name="外部資料_7921" localSheetId="2">紅綠燈!#REF!</definedName>
    <definedName name="外部資料_7923" localSheetId="2">紅綠燈!#REF!</definedName>
    <definedName name="外部資料_7924" localSheetId="2">紅綠燈!#REF!</definedName>
    <definedName name="外部資料_7925" localSheetId="2">紅綠燈!#REF!</definedName>
    <definedName name="外部資料_7927" localSheetId="2">紅綠燈!#REF!</definedName>
    <definedName name="外部資料_7928" localSheetId="2">紅綠燈!#REF!</definedName>
    <definedName name="外部資料_7929" localSheetId="2">紅綠燈!#REF!</definedName>
    <definedName name="外部資料_7931" localSheetId="2">紅綠燈!#REF!</definedName>
    <definedName name="外部資料_7932" localSheetId="2">紅綠燈!#REF!</definedName>
    <definedName name="外部資料_7933" localSheetId="2">紅綠燈!#REF!</definedName>
    <definedName name="外部資料_7935" localSheetId="2">紅綠燈!#REF!</definedName>
    <definedName name="外部資料_7936" localSheetId="2">紅綠燈!#REF!</definedName>
    <definedName name="外部資料_7937" localSheetId="2">紅綠燈!#REF!</definedName>
    <definedName name="外部資料_7939" localSheetId="2">紅綠燈!#REF!</definedName>
    <definedName name="外部資料_794" localSheetId="2">紅綠燈!#REF!</definedName>
    <definedName name="外部資料_7940" localSheetId="2">紅綠燈!#REF!</definedName>
    <definedName name="外部資料_7941" localSheetId="2">紅綠燈!#REF!</definedName>
    <definedName name="外部資料_7943" localSheetId="2">紅綠燈!#REF!</definedName>
    <definedName name="外部資料_7944" localSheetId="2">紅綠燈!#REF!</definedName>
    <definedName name="外部資料_7945" localSheetId="2">紅綠燈!#REF!</definedName>
    <definedName name="外部資料_7947" localSheetId="2">紅綠燈!#REF!</definedName>
    <definedName name="外部資料_7948" localSheetId="2">紅綠燈!#REF!</definedName>
    <definedName name="外部資料_7949" localSheetId="2">紅綠燈!#REF!</definedName>
    <definedName name="外部資料_795" localSheetId="2">紅綠燈!#REF!</definedName>
    <definedName name="外部資料_7951" localSheetId="2">紅綠燈!#REF!</definedName>
    <definedName name="外部資料_7952" localSheetId="2">紅綠燈!#REF!</definedName>
    <definedName name="外部資料_7953" localSheetId="2">紅綠燈!#REF!</definedName>
    <definedName name="外部資料_7955" localSheetId="2">紅綠燈!#REF!</definedName>
    <definedName name="外部資料_7956" localSheetId="2">紅綠燈!#REF!</definedName>
    <definedName name="外部資料_7957" localSheetId="2">紅綠燈!#REF!</definedName>
    <definedName name="外部資料_7959" localSheetId="2">紅綠燈!#REF!</definedName>
    <definedName name="外部資料_796" localSheetId="2">紅綠燈!#REF!</definedName>
    <definedName name="外部資料_7960" localSheetId="2">紅綠燈!#REF!</definedName>
    <definedName name="外部資料_7961" localSheetId="2">紅綠燈!#REF!</definedName>
    <definedName name="外部資料_7963" localSheetId="2">紅綠燈!#REF!</definedName>
    <definedName name="外部資料_7964" localSheetId="2">紅綠燈!#REF!</definedName>
    <definedName name="外部資料_7965" localSheetId="2">紅綠燈!#REF!</definedName>
    <definedName name="外部資料_7967" localSheetId="2">紅綠燈!#REF!</definedName>
    <definedName name="外部資料_7968" localSheetId="2">紅綠燈!#REF!</definedName>
    <definedName name="外部資料_7969" localSheetId="2">紅綠燈!#REF!</definedName>
    <definedName name="外部資料_7971" localSheetId="2">紅綠燈!#REF!</definedName>
    <definedName name="外部資料_7972" localSheetId="2">紅綠燈!#REF!</definedName>
    <definedName name="外部資料_7973" localSheetId="2">紅綠燈!#REF!</definedName>
    <definedName name="外部資料_7975" localSheetId="2">紅綠燈!#REF!</definedName>
    <definedName name="外部資料_7976" localSheetId="2">紅綠燈!#REF!</definedName>
    <definedName name="外部資料_7977" localSheetId="2">紅綠燈!#REF!</definedName>
    <definedName name="外部資料_7979" localSheetId="2">紅綠燈!#REF!</definedName>
    <definedName name="外部資料_798" localSheetId="2">紅綠燈!#REF!</definedName>
    <definedName name="外部資料_7980" localSheetId="2">紅綠燈!#REF!</definedName>
    <definedName name="外部資料_7981" localSheetId="2">紅綠燈!#REF!</definedName>
    <definedName name="外部資料_7983" localSheetId="2">紅綠燈!#REF!</definedName>
    <definedName name="外部資料_7984" localSheetId="2">紅綠燈!#REF!</definedName>
    <definedName name="外部資料_7985" localSheetId="2">紅綠燈!#REF!</definedName>
    <definedName name="外部資料_7987" localSheetId="2">紅綠燈!#REF!</definedName>
    <definedName name="外部資料_7988" localSheetId="2">紅綠燈!#REF!</definedName>
    <definedName name="外部資料_7989" localSheetId="2">紅綠燈!#REF!</definedName>
    <definedName name="外部資料_799" localSheetId="2">紅綠燈!#REF!</definedName>
    <definedName name="外部資料_7991" localSheetId="2">紅綠燈!#REF!</definedName>
    <definedName name="外部資料_7992" localSheetId="2">紅綠燈!#REF!</definedName>
    <definedName name="外部資料_7993" localSheetId="2">紅綠燈!#REF!</definedName>
    <definedName name="外部資料_7995" localSheetId="2">紅綠燈!#REF!</definedName>
    <definedName name="外部資料_7996" localSheetId="2">紅綠燈!#REF!</definedName>
    <definedName name="外部資料_7997" localSheetId="2">紅綠燈!#REF!</definedName>
    <definedName name="外部資料_7999" localSheetId="2">紅綠燈!#REF!</definedName>
    <definedName name="外部資料_8" localSheetId="7">PKA!#REF!</definedName>
    <definedName name="外部資料_8" localSheetId="8">PKB!#REF!</definedName>
    <definedName name="外部資料_8" localSheetId="9">PKC!#REF!</definedName>
    <definedName name="外部資料_8" localSheetId="13">PSR!#REF!</definedName>
    <definedName name="外部資料_8" localSheetId="2">紅綠燈!#REF!</definedName>
    <definedName name="外部資料_8" localSheetId="3">評比系統!#REF!</definedName>
    <definedName name="外部資料_8" localSheetId="10">福邦!#REF!</definedName>
    <definedName name="外部資料_8" localSheetId="4">篩股系統!#REF!</definedName>
    <definedName name="外部資料_8" localSheetId="11">營收搶先報!#REF!</definedName>
    <definedName name="外部資料_80" localSheetId="7">PKA!#REF!</definedName>
    <definedName name="外部資料_80" localSheetId="8">PKB!#REF!</definedName>
    <definedName name="外部資料_80" localSheetId="9">PKC!#REF!</definedName>
    <definedName name="外部資料_80" localSheetId="13">PSR!#REF!</definedName>
    <definedName name="外部資料_80" localSheetId="2">紅綠燈!#REF!</definedName>
    <definedName name="外部資料_80" localSheetId="10">福邦!#REF!</definedName>
    <definedName name="外部資料_800" localSheetId="2">紅綠燈!#REF!</definedName>
    <definedName name="外部資料_8000" localSheetId="2">紅綠燈!#REF!</definedName>
    <definedName name="外部資料_8001" localSheetId="2">紅綠燈!#REF!</definedName>
    <definedName name="外部資料_8003" localSheetId="2">紅綠燈!#REF!</definedName>
    <definedName name="外部資料_8004" localSheetId="2">紅綠燈!#REF!</definedName>
    <definedName name="外部資料_8005" localSheetId="2">紅綠燈!#REF!</definedName>
    <definedName name="外部資料_8007" localSheetId="2">紅綠燈!#REF!</definedName>
    <definedName name="外部資料_8008" localSheetId="2">紅綠燈!#REF!</definedName>
    <definedName name="外部資料_8009" localSheetId="2">紅綠燈!#REF!</definedName>
    <definedName name="外部資料_8011" localSheetId="2">紅綠燈!#REF!</definedName>
    <definedName name="外部資料_8012" localSheetId="2">紅綠燈!#REF!</definedName>
    <definedName name="外部資料_8013" localSheetId="2">紅綠燈!#REF!</definedName>
    <definedName name="外部資料_8015" localSheetId="2">紅綠燈!#REF!</definedName>
    <definedName name="外部資料_8016" localSheetId="2">紅綠燈!#REF!</definedName>
    <definedName name="外部資料_8017" localSheetId="2">紅綠燈!#REF!</definedName>
    <definedName name="外部資料_8019" localSheetId="2">紅綠燈!#REF!</definedName>
    <definedName name="外部資料_802" localSheetId="2">紅綠燈!#REF!</definedName>
    <definedName name="外部資料_8020" localSheetId="2">紅綠燈!#REF!</definedName>
    <definedName name="外部資料_8021" localSheetId="2">紅綠燈!#REF!</definedName>
    <definedName name="外部資料_8023" localSheetId="2">紅綠燈!#REF!</definedName>
    <definedName name="外部資料_8024" localSheetId="2">紅綠燈!#REF!</definedName>
    <definedName name="外部資料_8025" localSheetId="2">紅綠燈!#REF!</definedName>
    <definedName name="外部資料_8027" localSheetId="2">紅綠燈!#REF!</definedName>
    <definedName name="外部資料_8028" localSheetId="2">紅綠燈!#REF!</definedName>
    <definedName name="外部資料_8029" localSheetId="2">紅綠燈!#REF!</definedName>
    <definedName name="外部資料_803" localSheetId="2">紅綠燈!#REF!</definedName>
    <definedName name="外部資料_8031" localSheetId="2">紅綠燈!#REF!</definedName>
    <definedName name="外部資料_8032" localSheetId="2">紅綠燈!#REF!</definedName>
    <definedName name="外部資料_8033" localSheetId="2">紅綠燈!#REF!</definedName>
    <definedName name="外部資料_8035" localSheetId="2">紅綠燈!#REF!</definedName>
    <definedName name="外部資料_8036" localSheetId="2">紅綠燈!#REF!</definedName>
    <definedName name="外部資料_8037" localSheetId="2">紅綠燈!#REF!</definedName>
    <definedName name="外部資料_8039" localSheetId="2">紅綠燈!#REF!</definedName>
    <definedName name="外部資料_804" localSheetId="2">紅綠燈!#REF!</definedName>
    <definedName name="外部資料_8040" localSheetId="2">紅綠燈!#REF!</definedName>
    <definedName name="外部資料_8041" localSheetId="2">紅綠燈!#REF!</definedName>
    <definedName name="外部資料_8043" localSheetId="2">紅綠燈!#REF!</definedName>
    <definedName name="外部資料_8044" localSheetId="2">紅綠燈!#REF!</definedName>
    <definedName name="外部資料_8045" localSheetId="2">紅綠燈!#REF!</definedName>
    <definedName name="外部資料_8047" localSheetId="2">紅綠燈!#REF!</definedName>
    <definedName name="外部資料_8048" localSheetId="2">紅綠燈!#REF!</definedName>
    <definedName name="外部資料_8049" localSheetId="2">紅綠燈!#REF!</definedName>
    <definedName name="外部資料_8051" localSheetId="2">紅綠燈!#REF!</definedName>
    <definedName name="外部資料_8052" localSheetId="2">紅綠燈!#REF!</definedName>
    <definedName name="外部資料_8053" localSheetId="2">紅綠燈!#REF!</definedName>
    <definedName name="外部資料_8055" localSheetId="2">紅綠燈!#REF!</definedName>
    <definedName name="外部資料_8056" localSheetId="2">紅綠燈!#REF!</definedName>
    <definedName name="外部資料_8057" localSheetId="2">紅綠燈!#REF!</definedName>
    <definedName name="外部資料_8059" localSheetId="2">紅綠燈!#REF!</definedName>
    <definedName name="外部資料_806" localSheetId="2">紅綠燈!#REF!</definedName>
    <definedName name="外部資料_8060" localSheetId="2">紅綠燈!#REF!</definedName>
    <definedName name="外部資料_8061" localSheetId="2">紅綠燈!#REF!</definedName>
    <definedName name="外部資料_8063" localSheetId="2">紅綠燈!#REF!</definedName>
    <definedName name="外部資料_8064" localSheetId="2">紅綠燈!#REF!</definedName>
    <definedName name="外部資料_8065" localSheetId="2">紅綠燈!#REF!</definedName>
    <definedName name="外部資料_8067" localSheetId="2">紅綠燈!#REF!</definedName>
    <definedName name="外部資料_8068" localSheetId="2">紅綠燈!#REF!</definedName>
    <definedName name="外部資料_8069" localSheetId="2">紅綠燈!#REF!</definedName>
    <definedName name="外部資料_807" localSheetId="2">紅綠燈!#REF!</definedName>
    <definedName name="外部資料_8071" localSheetId="2">紅綠燈!#REF!</definedName>
    <definedName name="外部資料_8072" localSheetId="2">紅綠燈!#REF!</definedName>
    <definedName name="外部資料_8073" localSheetId="2">紅綠燈!#REF!</definedName>
    <definedName name="外部資料_8075" localSheetId="2">紅綠燈!#REF!</definedName>
    <definedName name="外部資料_8076" localSheetId="2">紅綠燈!#REF!</definedName>
    <definedName name="外部資料_8077" localSheetId="2">紅綠燈!#REF!</definedName>
    <definedName name="外部資料_8079" localSheetId="2">紅綠燈!#REF!</definedName>
    <definedName name="外部資料_808" localSheetId="2">紅綠燈!#REF!</definedName>
    <definedName name="外部資料_8080" localSheetId="2">紅綠燈!#REF!</definedName>
    <definedName name="外部資料_8081" localSheetId="2">紅綠燈!#REF!</definedName>
    <definedName name="外部資料_8083" localSheetId="2">紅綠燈!#REF!</definedName>
    <definedName name="外部資料_8084" localSheetId="2">紅綠燈!#REF!</definedName>
    <definedName name="外部資料_8085" localSheetId="2">紅綠燈!#REF!</definedName>
    <definedName name="外部資料_8087" localSheetId="2">紅綠燈!#REF!</definedName>
    <definedName name="外部資料_8088" localSheetId="2">紅綠燈!#REF!</definedName>
    <definedName name="外部資料_8089" localSheetId="2">紅綠燈!#REF!</definedName>
    <definedName name="外部資料_8091" localSheetId="2">紅綠燈!#REF!</definedName>
    <definedName name="外部資料_8092" localSheetId="2">紅綠燈!#REF!</definedName>
    <definedName name="外部資料_8093" localSheetId="2">紅綠燈!#REF!</definedName>
    <definedName name="外部資料_8095" localSheetId="2">紅綠燈!#REF!</definedName>
    <definedName name="外部資料_8096" localSheetId="2">紅綠燈!#REF!</definedName>
    <definedName name="外部資料_8097" localSheetId="2">紅綠燈!#REF!</definedName>
    <definedName name="外部資料_8099" localSheetId="2">紅綠燈!#REF!</definedName>
    <definedName name="外部資料_81" localSheetId="7">PKA!#REF!</definedName>
    <definedName name="外部資料_81" localSheetId="8">PKB!#REF!</definedName>
    <definedName name="外部資料_81" localSheetId="9">PKC!#REF!</definedName>
    <definedName name="外部資料_81" localSheetId="13">PSR!#REF!</definedName>
    <definedName name="外部資料_81" localSheetId="2">紅綠燈!#REF!</definedName>
    <definedName name="外部資料_81" localSheetId="10">福邦!#REF!</definedName>
    <definedName name="外部資料_810" localSheetId="2">紅綠燈!#REF!</definedName>
    <definedName name="外部資料_8100" localSheetId="2">紅綠燈!#REF!</definedName>
    <definedName name="外部資料_8101" localSheetId="2">紅綠燈!#REF!</definedName>
    <definedName name="外部資料_8103" localSheetId="2">紅綠燈!#REF!</definedName>
    <definedName name="外部資料_8104" localSheetId="2">紅綠燈!#REF!</definedName>
    <definedName name="外部資料_8105" localSheetId="2">紅綠燈!#REF!</definedName>
    <definedName name="外部資料_8107" localSheetId="2">紅綠燈!#REF!</definedName>
    <definedName name="外部資料_8108" localSheetId="2">紅綠燈!#REF!</definedName>
    <definedName name="外部資料_8109" localSheetId="2">紅綠燈!#REF!</definedName>
    <definedName name="外部資料_811" localSheetId="2">紅綠燈!#REF!</definedName>
    <definedName name="外部資料_8111" localSheetId="2">紅綠燈!#REF!</definedName>
    <definedName name="外部資料_8112" localSheetId="2">紅綠燈!#REF!</definedName>
    <definedName name="外部資料_8113" localSheetId="2">紅綠燈!#REF!</definedName>
    <definedName name="外部資料_8115" localSheetId="2">紅綠燈!#REF!</definedName>
    <definedName name="外部資料_8116" localSheetId="2">紅綠燈!#REF!</definedName>
    <definedName name="外部資料_8117" localSheetId="2">紅綠燈!#REF!</definedName>
    <definedName name="外部資料_8119" localSheetId="2">紅綠燈!#REF!</definedName>
    <definedName name="外部資料_812" localSheetId="2">紅綠燈!#REF!</definedName>
    <definedName name="外部資料_8120" localSheetId="2">紅綠燈!#REF!</definedName>
    <definedName name="外部資料_8121" localSheetId="2">紅綠燈!#REF!</definedName>
    <definedName name="外部資料_8123" localSheetId="2">紅綠燈!#REF!</definedName>
    <definedName name="外部資料_8124" localSheetId="2">紅綠燈!#REF!</definedName>
    <definedName name="外部資料_8125" localSheetId="2">紅綠燈!#REF!</definedName>
    <definedName name="外部資料_8127" localSheetId="2">紅綠燈!#REF!</definedName>
    <definedName name="外部資料_8128" localSheetId="2">紅綠燈!#REF!</definedName>
    <definedName name="外部資料_8130" localSheetId="2">紅綠燈!#REF!</definedName>
    <definedName name="外部資料_8131" localSheetId="2">紅綠燈!#REF!</definedName>
    <definedName name="外部資料_8132" localSheetId="2">紅綠燈!#REF!</definedName>
    <definedName name="外部資料_8134" localSheetId="2">紅綠燈!#REF!</definedName>
    <definedName name="外部資料_8135" localSheetId="2">紅綠燈!#REF!</definedName>
    <definedName name="外部資料_8136" localSheetId="2">紅綠燈!#REF!</definedName>
    <definedName name="外部資料_8138" localSheetId="2">紅綠燈!#REF!</definedName>
    <definedName name="外部資料_8139" localSheetId="2">紅綠燈!#REF!</definedName>
    <definedName name="外部資料_814" localSheetId="2">紅綠燈!#REF!</definedName>
    <definedName name="外部資料_8140" localSheetId="2">紅綠燈!#REF!</definedName>
    <definedName name="外部資料_8142" localSheetId="2">紅綠燈!#REF!</definedName>
    <definedName name="外部資料_8143" localSheetId="2">紅綠燈!#REF!</definedName>
    <definedName name="外部資料_8145" localSheetId="2">紅綠燈!#REF!</definedName>
    <definedName name="外部資料_8146" localSheetId="2">紅綠燈!#REF!</definedName>
    <definedName name="外部資料_8147" localSheetId="2">紅綠燈!#REF!</definedName>
    <definedName name="外部資料_8149" localSheetId="2">紅綠燈!#REF!</definedName>
    <definedName name="外部資料_815" localSheetId="2">紅綠燈!#REF!</definedName>
    <definedName name="外部資料_8150" localSheetId="2">紅綠燈!#REF!</definedName>
    <definedName name="外部資料_8151" localSheetId="2">紅綠燈!#REF!</definedName>
    <definedName name="外部資料_8153" localSheetId="2">紅綠燈!#REF!</definedName>
    <definedName name="外部資料_8154" localSheetId="2">紅綠燈!#REF!</definedName>
    <definedName name="外部資料_8155" localSheetId="2">紅綠燈!#REF!</definedName>
    <definedName name="外部資料_8157" localSheetId="2">紅綠燈!#REF!</definedName>
    <definedName name="外部資料_8158" localSheetId="2">紅綠燈!#REF!</definedName>
    <definedName name="外部資料_8159" localSheetId="2">紅綠燈!#REF!</definedName>
    <definedName name="外部資料_816" localSheetId="2">紅綠燈!#REF!</definedName>
    <definedName name="外部資料_8161" localSheetId="2">紅綠燈!#REF!</definedName>
    <definedName name="外部資料_8162" localSheetId="2">紅綠燈!#REF!</definedName>
    <definedName name="外部資料_8163" localSheetId="2">紅綠燈!#REF!</definedName>
    <definedName name="外部資料_8165" localSheetId="2">紅綠燈!#REF!</definedName>
    <definedName name="外部資料_8166" localSheetId="2">紅綠燈!#REF!</definedName>
    <definedName name="外部資料_8167" localSheetId="2">紅綠燈!#REF!</definedName>
    <definedName name="外部資料_8169" localSheetId="2">紅綠燈!#REF!</definedName>
    <definedName name="外部資料_8170" localSheetId="2">紅綠燈!#REF!</definedName>
    <definedName name="外部資料_8171" localSheetId="2">紅綠燈!#REF!</definedName>
    <definedName name="外部資料_8173" localSheetId="2">紅綠燈!#REF!</definedName>
    <definedName name="外部資料_8174" localSheetId="2">紅綠燈!#REF!</definedName>
    <definedName name="外部資料_8175" localSheetId="2">紅綠燈!#REF!</definedName>
    <definedName name="外部資料_8177" localSheetId="2">紅綠燈!#REF!</definedName>
    <definedName name="外部資料_8178" localSheetId="2">紅綠燈!#REF!</definedName>
    <definedName name="外部資料_8179" localSheetId="2">紅綠燈!#REF!</definedName>
    <definedName name="外部資料_818" localSheetId="2">紅綠燈!#REF!</definedName>
    <definedName name="外部資料_8181" localSheetId="2">紅綠燈!#REF!</definedName>
    <definedName name="外部資料_8182" localSheetId="2">紅綠燈!#REF!</definedName>
    <definedName name="外部資料_8183" localSheetId="2">紅綠燈!#REF!</definedName>
    <definedName name="外部資料_8185" localSheetId="2">紅綠燈!#REF!</definedName>
    <definedName name="外部資料_8186" localSheetId="2">紅綠燈!#REF!</definedName>
    <definedName name="外部資料_8187" localSheetId="2">紅綠燈!#REF!</definedName>
    <definedName name="外部資料_819" localSheetId="2">紅綠燈!#REF!</definedName>
    <definedName name="外部資料_82" localSheetId="7">PKA!#REF!</definedName>
    <definedName name="外部資料_82" localSheetId="8">PKB!#REF!</definedName>
    <definedName name="外部資料_82" localSheetId="9">PKC!#REF!</definedName>
    <definedName name="外部資料_82" localSheetId="13">PSR!#REF!</definedName>
    <definedName name="外部資料_82" localSheetId="2">紅綠燈!#REF!</definedName>
    <definedName name="外部資料_82" localSheetId="10">福邦!#REF!</definedName>
    <definedName name="外部資料_820" localSheetId="2">紅綠燈!#REF!</definedName>
    <definedName name="外部資料_822" localSheetId="2">紅綠燈!#REF!</definedName>
    <definedName name="外部資料_823" localSheetId="2">紅綠燈!#REF!</definedName>
    <definedName name="外部資料_824" localSheetId="2">紅綠燈!#REF!</definedName>
    <definedName name="外部資料_826" localSheetId="2">紅綠燈!#REF!</definedName>
    <definedName name="外部資料_827" localSheetId="2">紅綠燈!#REF!</definedName>
    <definedName name="外部資料_828" localSheetId="2">紅綠燈!#REF!</definedName>
    <definedName name="外部資料_83" localSheetId="7">PKA!#REF!</definedName>
    <definedName name="外部資料_83" localSheetId="8">PKB!#REF!</definedName>
    <definedName name="外部資料_83" localSheetId="9">PKC!#REF!</definedName>
    <definedName name="外部資料_83" localSheetId="13">PSR!#REF!</definedName>
    <definedName name="外部資料_83" localSheetId="2">紅綠燈!#REF!</definedName>
    <definedName name="外部資料_83" localSheetId="10">福邦!#REF!</definedName>
    <definedName name="外部資料_83" localSheetId="4">篩股系統!#REF!</definedName>
    <definedName name="外部資料_830" localSheetId="2">紅綠燈!#REF!</definedName>
    <definedName name="外部資料_831" localSheetId="2">紅綠燈!#REF!</definedName>
    <definedName name="外部資料_832" localSheetId="2">紅綠燈!#REF!</definedName>
    <definedName name="外部資料_834" localSheetId="2">紅綠燈!#REF!</definedName>
    <definedName name="外部資料_835" localSheetId="2">紅綠燈!#REF!</definedName>
    <definedName name="外部資料_836" localSheetId="2">紅綠燈!#REF!</definedName>
    <definedName name="外部資料_838" localSheetId="2">紅綠燈!#REF!</definedName>
    <definedName name="外部資料_839" localSheetId="2">紅綠燈!#REF!</definedName>
    <definedName name="外部資料_84" localSheetId="7">PKA!#REF!</definedName>
    <definedName name="外部資料_84" localSheetId="8">PKB!#REF!</definedName>
    <definedName name="外部資料_84" localSheetId="9">PKC!#REF!</definedName>
    <definedName name="外部資料_84" localSheetId="13">PSR!#REF!</definedName>
    <definedName name="外部資料_84" localSheetId="2">紅綠燈!#REF!</definedName>
    <definedName name="外部資料_84" localSheetId="10">福邦!#REF!</definedName>
    <definedName name="外部資料_840" localSheetId="2">紅綠燈!#REF!</definedName>
    <definedName name="外部資料_842" localSheetId="2">紅綠燈!#REF!</definedName>
    <definedName name="外部資料_843" localSheetId="2">紅綠燈!#REF!</definedName>
    <definedName name="外部資料_844" localSheetId="2">紅綠燈!#REF!</definedName>
    <definedName name="外部資料_846" localSheetId="2">紅綠燈!#REF!</definedName>
    <definedName name="外部資料_847" localSheetId="2">紅綠燈!#REF!</definedName>
    <definedName name="外部資料_848" localSheetId="2">紅綠燈!#REF!</definedName>
    <definedName name="外部資料_85" localSheetId="7">PKA!#REF!</definedName>
    <definedName name="外部資料_85" localSheetId="8">PKB!#REF!</definedName>
    <definedName name="外部資料_85" localSheetId="9">PKC!#REF!</definedName>
    <definedName name="外部資料_85" localSheetId="13">PSR!#REF!</definedName>
    <definedName name="外部資料_85" localSheetId="2">紅綠燈!#REF!</definedName>
    <definedName name="外部資料_85" localSheetId="10">福邦!#REF!</definedName>
    <definedName name="外部資料_850" localSheetId="2">紅綠燈!#REF!</definedName>
    <definedName name="外部資料_851" localSheetId="2">紅綠燈!#REF!</definedName>
    <definedName name="外部資料_852" localSheetId="2">紅綠燈!#REF!</definedName>
    <definedName name="外部資料_854" localSheetId="2">紅綠燈!#REF!</definedName>
    <definedName name="外部資料_855" localSheetId="2">紅綠燈!#REF!</definedName>
    <definedName name="外部資料_856" localSheetId="2">紅綠燈!#REF!</definedName>
    <definedName name="外部資料_858" localSheetId="2">紅綠燈!#REF!</definedName>
    <definedName name="外部資料_859" localSheetId="2">紅綠燈!#REF!</definedName>
    <definedName name="外部資料_86" localSheetId="7">PKA!#REF!</definedName>
    <definedName name="外部資料_86" localSheetId="8">PKB!#REF!</definedName>
    <definedName name="外部資料_86" localSheetId="9">PKC!#REF!</definedName>
    <definedName name="外部資料_86" localSheetId="13">PSR!#REF!</definedName>
    <definedName name="外部資料_86" localSheetId="2">紅綠燈!#REF!</definedName>
    <definedName name="外部資料_86" localSheetId="10">福邦!#REF!</definedName>
    <definedName name="外部資料_860" localSheetId="2">紅綠燈!#REF!</definedName>
    <definedName name="外部資料_862" localSheetId="2">紅綠燈!#REF!</definedName>
    <definedName name="外部資料_863" localSheetId="2">紅綠燈!#REF!</definedName>
    <definedName name="外部資料_864" localSheetId="2">紅綠燈!#REF!</definedName>
    <definedName name="外部資料_866" localSheetId="2">紅綠燈!#REF!</definedName>
    <definedName name="外部資料_867" localSheetId="2">紅綠燈!#REF!</definedName>
    <definedName name="外部資料_868" localSheetId="2">紅綠燈!#REF!</definedName>
    <definedName name="外部資料_87" localSheetId="7">PKA!#REF!</definedName>
    <definedName name="外部資料_87" localSheetId="8">PKB!#REF!</definedName>
    <definedName name="外部資料_87" localSheetId="9">PKC!#REF!</definedName>
    <definedName name="外部資料_87" localSheetId="13">PSR!#REF!</definedName>
    <definedName name="外部資料_87" localSheetId="2">紅綠燈!#REF!</definedName>
    <definedName name="外部資料_87" localSheetId="10">福邦!#REF!</definedName>
    <definedName name="外部資料_870" localSheetId="2">紅綠燈!#REF!</definedName>
    <definedName name="外部資料_871" localSheetId="2">紅綠燈!#REF!</definedName>
    <definedName name="外部資料_872" localSheetId="2">紅綠燈!#REF!</definedName>
    <definedName name="外部資料_874" localSheetId="2">紅綠燈!#REF!</definedName>
    <definedName name="外部資料_875" localSheetId="2">紅綠燈!#REF!</definedName>
    <definedName name="外部資料_876" localSheetId="2">紅綠燈!#REF!</definedName>
    <definedName name="外部資料_878" localSheetId="2">紅綠燈!#REF!</definedName>
    <definedName name="外部資料_879" localSheetId="2">紅綠燈!#REF!</definedName>
    <definedName name="外部資料_88" localSheetId="7">PKA!#REF!</definedName>
    <definedName name="外部資料_88" localSheetId="8">PKB!#REF!</definedName>
    <definedName name="外部資料_88" localSheetId="9">PKC!#REF!</definedName>
    <definedName name="外部資料_88" localSheetId="13">PSR!#REF!</definedName>
    <definedName name="外部資料_88" localSheetId="2">紅綠燈!#REF!</definedName>
    <definedName name="外部資料_88" localSheetId="10">福邦!#REF!</definedName>
    <definedName name="外部資料_880" localSheetId="2">紅綠燈!#REF!</definedName>
    <definedName name="外部資料_882" localSheetId="2">紅綠燈!#REF!</definedName>
    <definedName name="外部資料_883" localSheetId="2">紅綠燈!#REF!</definedName>
    <definedName name="外部資料_884" localSheetId="2">紅綠燈!#REF!</definedName>
    <definedName name="外部資料_886" localSheetId="2">紅綠燈!#REF!</definedName>
    <definedName name="外部資料_887" localSheetId="2">紅綠燈!#REF!</definedName>
    <definedName name="外部資料_888" localSheetId="2">紅綠燈!#REF!</definedName>
    <definedName name="外部資料_89" localSheetId="7">PKA!#REF!</definedName>
    <definedName name="外部資料_89" localSheetId="8">PKB!#REF!</definedName>
    <definedName name="外部資料_89" localSheetId="9">PKC!#REF!</definedName>
    <definedName name="外部資料_89" localSheetId="13">PSR!#REF!</definedName>
    <definedName name="外部資料_89" localSheetId="2">紅綠燈!#REF!</definedName>
    <definedName name="外部資料_89" localSheetId="10">福邦!#REF!</definedName>
    <definedName name="外部資料_890" localSheetId="2">紅綠燈!#REF!</definedName>
    <definedName name="外部資料_891" localSheetId="2">紅綠燈!#REF!</definedName>
    <definedName name="外部資料_892" localSheetId="2">紅綠燈!#REF!</definedName>
    <definedName name="外部資料_894" localSheetId="2">紅綠燈!#REF!</definedName>
    <definedName name="外部資料_895" localSheetId="2">紅綠燈!#REF!</definedName>
    <definedName name="外部資料_897" localSheetId="2">紅綠燈!#REF!</definedName>
    <definedName name="外部資料_898" localSheetId="2">紅綠燈!#REF!</definedName>
    <definedName name="外部資料_899" localSheetId="2">紅綠燈!#REF!</definedName>
    <definedName name="外部資料_9" localSheetId="7">PKA!#REF!</definedName>
    <definedName name="外部資料_9" localSheetId="8">PKB!#REF!</definedName>
    <definedName name="外部資料_9" localSheetId="9">PKC!#REF!</definedName>
    <definedName name="外部資料_9" localSheetId="13">PSR!#REF!</definedName>
    <definedName name="外部資料_9" localSheetId="2">紅綠燈!#REF!</definedName>
    <definedName name="外部資料_9" localSheetId="3">評比系統!#REF!</definedName>
    <definedName name="外部資料_9" localSheetId="10">福邦!#REF!</definedName>
    <definedName name="外部資料_9" localSheetId="4">篩股系統!#REF!</definedName>
    <definedName name="外部資料_9" localSheetId="11">營收搶先報!#REF!</definedName>
    <definedName name="外部資料_90" localSheetId="7">PKA!#REF!</definedName>
    <definedName name="外部資料_90" localSheetId="8">PKB!#REF!</definedName>
    <definedName name="外部資料_90" localSheetId="9">PKC!#REF!</definedName>
    <definedName name="外部資料_90" localSheetId="13">PSR!#REF!</definedName>
    <definedName name="外部資料_90" localSheetId="2">紅綠燈!#REF!</definedName>
    <definedName name="外部資料_90" localSheetId="10">福邦!#REF!</definedName>
    <definedName name="外部資料_901" localSheetId="2">紅綠燈!#REF!</definedName>
    <definedName name="外部資料_902" localSheetId="2">紅綠燈!#REF!</definedName>
    <definedName name="外部資料_903" localSheetId="2">紅綠燈!#REF!</definedName>
    <definedName name="外部資料_905" localSheetId="2">紅綠燈!#REF!</definedName>
    <definedName name="外部資料_906" localSheetId="2">紅綠燈!#REF!</definedName>
    <definedName name="外部資料_907" localSheetId="2">紅綠燈!#REF!</definedName>
    <definedName name="外部資料_909" localSheetId="2">紅綠燈!#REF!</definedName>
    <definedName name="外部資料_91" localSheetId="7">PKA!#REF!</definedName>
    <definedName name="外部資料_91" localSheetId="8">PKB!#REF!</definedName>
    <definedName name="外部資料_91" localSheetId="9">PKC!#REF!</definedName>
    <definedName name="外部資料_91" localSheetId="13">PSR!#REF!</definedName>
    <definedName name="外部資料_91" localSheetId="10">福邦!#REF!</definedName>
    <definedName name="外部資料_910" localSheetId="2">紅綠燈!#REF!</definedName>
    <definedName name="外部資料_911" localSheetId="2">紅綠燈!#REF!</definedName>
    <definedName name="外部資料_913" localSheetId="2">紅綠燈!#REF!</definedName>
    <definedName name="外部資料_914" localSheetId="2">紅綠燈!#REF!</definedName>
    <definedName name="外部資料_915" localSheetId="2">紅綠燈!#REF!</definedName>
    <definedName name="外部資料_917" localSheetId="2">紅綠燈!#REF!</definedName>
    <definedName name="外部資料_918" localSheetId="2">紅綠燈!#REF!</definedName>
    <definedName name="外部資料_919" localSheetId="2">紅綠燈!#REF!</definedName>
    <definedName name="外部資料_92" localSheetId="7">PKA!#REF!</definedName>
    <definedName name="外部資料_92" localSheetId="8">PKB!#REF!</definedName>
    <definedName name="外部資料_92" localSheetId="9">PKC!#REF!</definedName>
    <definedName name="外部資料_92" localSheetId="13">PSR!#REF!</definedName>
    <definedName name="外部資料_92" localSheetId="2">紅綠燈!#REF!</definedName>
    <definedName name="外部資料_92" localSheetId="10">福邦!#REF!</definedName>
    <definedName name="外部資料_921" localSheetId="2">紅綠燈!#REF!</definedName>
    <definedName name="外部資料_922" localSheetId="2">紅綠燈!#REF!</definedName>
    <definedName name="外部資料_923" localSheetId="2">紅綠燈!#REF!</definedName>
    <definedName name="外部資料_925" localSheetId="2">紅綠燈!#REF!</definedName>
    <definedName name="外部資料_926" localSheetId="2">紅綠燈!#REF!</definedName>
    <definedName name="外部資料_927" localSheetId="2">紅綠燈!#REF!</definedName>
    <definedName name="外部資料_929" localSheetId="2">紅綠燈!#REF!</definedName>
    <definedName name="外部資料_93" localSheetId="7">PKA!#REF!</definedName>
    <definedName name="外部資料_93" localSheetId="8">PKB!#REF!</definedName>
    <definedName name="外部資料_93" localSheetId="9">PKC!#REF!</definedName>
    <definedName name="外部資料_93" localSheetId="13">PSR!#REF!</definedName>
    <definedName name="外部資料_93" localSheetId="2">紅綠燈!#REF!</definedName>
    <definedName name="外部資料_93" localSheetId="10">福邦!#REF!</definedName>
    <definedName name="外部資料_930" localSheetId="2">紅綠燈!#REF!</definedName>
    <definedName name="外部資料_931" localSheetId="2">紅綠燈!#REF!</definedName>
    <definedName name="外部資料_933" localSheetId="2">紅綠燈!#REF!</definedName>
    <definedName name="外部資料_934" localSheetId="2">紅綠燈!#REF!</definedName>
    <definedName name="外部資料_935" localSheetId="2">紅綠燈!#REF!</definedName>
    <definedName name="外部資料_937" localSheetId="2">紅綠燈!#REF!</definedName>
    <definedName name="外部資料_938" localSheetId="2">紅綠燈!#REF!</definedName>
    <definedName name="外部資料_94" localSheetId="7">PKA!#REF!</definedName>
    <definedName name="外部資料_94" localSheetId="8">PKB!#REF!</definedName>
    <definedName name="外部資料_94" localSheetId="9">PKC!#REF!</definedName>
    <definedName name="外部資料_94" localSheetId="13">PSR!#REF!</definedName>
    <definedName name="外部資料_94" localSheetId="2">紅綠燈!#REF!</definedName>
    <definedName name="外部資料_94" localSheetId="10">福邦!#REF!</definedName>
    <definedName name="外部資料_940" localSheetId="2">紅綠燈!#REF!</definedName>
    <definedName name="外部資料_941" localSheetId="2">紅綠燈!#REF!</definedName>
    <definedName name="外部資料_942" localSheetId="2">紅綠燈!#REF!</definedName>
    <definedName name="外部資料_944" localSheetId="2">紅綠燈!#REF!</definedName>
    <definedName name="外部資料_945" localSheetId="2">紅綠燈!#REF!</definedName>
    <definedName name="外部資料_946" localSheetId="2">紅綠燈!#REF!</definedName>
    <definedName name="外部資料_948" localSheetId="2">紅綠燈!#REF!</definedName>
    <definedName name="外部資料_949" localSheetId="2">紅綠燈!#REF!</definedName>
    <definedName name="外部資料_95" localSheetId="7">PKA!#REF!</definedName>
    <definedName name="外部資料_95" localSheetId="8">PKB!#REF!</definedName>
    <definedName name="外部資料_95" localSheetId="9">PKC!#REF!</definedName>
    <definedName name="外部資料_95" localSheetId="13">PSR!#REF!</definedName>
    <definedName name="外部資料_95" localSheetId="10">福邦!#REF!</definedName>
    <definedName name="外部資料_951" localSheetId="2">紅綠燈!#REF!</definedName>
    <definedName name="外部資料_952" localSheetId="2">紅綠燈!#REF!</definedName>
    <definedName name="外部資料_953" localSheetId="2">紅綠燈!#REF!</definedName>
    <definedName name="外部資料_955" localSheetId="2">紅綠燈!#REF!</definedName>
    <definedName name="外部資料_956" localSheetId="2">紅綠燈!#REF!</definedName>
    <definedName name="外部資料_957" localSheetId="2">紅綠燈!#REF!</definedName>
    <definedName name="外部資料_959" localSheetId="2">紅綠燈!#REF!</definedName>
    <definedName name="外部資料_96" localSheetId="7">PKA!#REF!</definedName>
    <definedName name="外部資料_96" localSheetId="8">PKB!#REF!</definedName>
    <definedName name="外部資料_96" localSheetId="9">PKC!#REF!</definedName>
    <definedName name="外部資料_96" localSheetId="13">PSR!#REF!</definedName>
    <definedName name="外部資料_96" localSheetId="2">紅綠燈!#REF!</definedName>
    <definedName name="外部資料_96" localSheetId="10">福邦!#REF!</definedName>
    <definedName name="外部資料_960" localSheetId="2">紅綠燈!#REF!</definedName>
    <definedName name="外部資料_961" localSheetId="2">紅綠燈!#REF!</definedName>
    <definedName name="外部資料_963" localSheetId="2">紅綠燈!#REF!</definedName>
    <definedName name="外部資料_964" localSheetId="2">紅綠燈!#REF!</definedName>
    <definedName name="外部資料_965" localSheetId="2">紅綠燈!#REF!</definedName>
    <definedName name="外部資料_967" localSheetId="2">紅綠燈!#REF!</definedName>
    <definedName name="外部資料_968" localSheetId="2">紅綠燈!#REF!</definedName>
    <definedName name="外部資料_969" localSheetId="2">紅綠燈!#REF!</definedName>
    <definedName name="外部資料_97" localSheetId="7">PKA!#REF!</definedName>
    <definedName name="外部資料_97" localSheetId="8">PKB!#REF!</definedName>
    <definedName name="外部資料_97" localSheetId="9">PKC!#REF!</definedName>
    <definedName name="外部資料_97" localSheetId="13">PSR!#REF!</definedName>
    <definedName name="外部資料_97" localSheetId="2">紅綠燈!#REF!</definedName>
    <definedName name="外部資料_97" localSheetId="10">福邦!#REF!</definedName>
    <definedName name="外部資料_971" localSheetId="2">紅綠燈!#REF!</definedName>
    <definedName name="外部資料_972" localSheetId="2">紅綠燈!#REF!</definedName>
    <definedName name="外部資料_973" localSheetId="2">紅綠燈!#REF!</definedName>
    <definedName name="外部資料_975" localSheetId="2">紅綠燈!#REF!</definedName>
    <definedName name="外部資料_976" localSheetId="2">紅綠燈!#REF!</definedName>
    <definedName name="外部資料_977" localSheetId="2">紅綠燈!#REF!</definedName>
    <definedName name="外部資料_979" localSheetId="2">紅綠燈!#REF!</definedName>
    <definedName name="外部資料_98" localSheetId="7">PKA!#REF!</definedName>
    <definedName name="外部資料_98" localSheetId="8">PKB!#REF!</definedName>
    <definedName name="外部資料_98" localSheetId="9">PKC!#REF!</definedName>
    <definedName name="外部資料_98" localSheetId="13">PSR!#REF!</definedName>
    <definedName name="外部資料_98" localSheetId="2">紅綠燈!#REF!</definedName>
    <definedName name="外部資料_98" localSheetId="10">福邦!#REF!</definedName>
    <definedName name="外部資料_980" localSheetId="2">紅綠燈!#REF!</definedName>
    <definedName name="外部資料_981" localSheetId="2">紅綠燈!#REF!</definedName>
    <definedName name="外部資料_983" localSheetId="2">紅綠燈!#REF!</definedName>
    <definedName name="外部資料_984" localSheetId="2">紅綠燈!#REF!</definedName>
    <definedName name="外部資料_985" localSheetId="2">紅綠燈!#REF!</definedName>
    <definedName name="外部資料_987" localSheetId="2">紅綠燈!#REF!</definedName>
    <definedName name="外部資料_988" localSheetId="2">紅綠燈!#REF!</definedName>
    <definedName name="外部資料_989" localSheetId="2">紅綠燈!#REF!</definedName>
    <definedName name="外部資料_99" localSheetId="7">PKA!#REF!</definedName>
    <definedName name="外部資料_99" localSheetId="8">PKB!#REF!</definedName>
    <definedName name="外部資料_99" localSheetId="9">PKC!#REF!</definedName>
    <definedName name="外部資料_99" localSheetId="13">PSR!#REF!</definedName>
    <definedName name="外部資料_99" localSheetId="2">紅綠燈!#REF!</definedName>
    <definedName name="外部資料_99" localSheetId="10">福邦!#REF!</definedName>
    <definedName name="外部資料_991" localSheetId="2">紅綠燈!#REF!</definedName>
    <definedName name="外部資料_992" localSheetId="2">紅綠燈!#REF!</definedName>
    <definedName name="外部資料_993" localSheetId="2">紅綠燈!#REF!</definedName>
    <definedName name="外部資料_995" localSheetId="2">紅綠燈!#REF!</definedName>
    <definedName name="外部資料_996" localSheetId="2">紅綠燈!#REF!</definedName>
    <definedName name="外部資料_997" localSheetId="2">紅綠燈!#REF!</definedName>
    <definedName name="外部資料_999" localSheetId="2">紅綠燈!#REF!</definedName>
    <definedName name="持股分佈_1" localSheetId="3">評比系統!#REF!</definedName>
    <definedName name="持股分佈_2" localSheetId="3">評比系統!#REF!</definedName>
    <definedName name="國內上市" localSheetId="1">收盤價!$A$731:$B$1423</definedName>
    <definedName name="國內上市_1" localSheetId="1">收盤價!#REF!</definedName>
    <definedName name="國內上市_2" localSheetId="1">收盤價!#REF!</definedName>
    <definedName name="國內上市_3" localSheetId="1">收盤價!#REF!</definedName>
    <definedName name="國內上市_4" localSheetId="1">收盤價!#REF!</definedName>
    <definedName name="國內上市_5" localSheetId="1">收盤價!#REF!</definedName>
    <definedName name="國內上市_6" localSheetId="1">收盤價!$A$895:$C$1591</definedName>
  </definedNames>
  <calcPr calcId="152511"/>
</workbook>
</file>

<file path=xl/calcChain.xml><?xml version="1.0" encoding="utf-8"?>
<calcChain xmlns="http://schemas.openxmlformats.org/spreadsheetml/2006/main">
  <c r="Q48" i="1" l="1"/>
  <c r="O48" i="1"/>
  <c r="N48" i="1"/>
  <c r="AE2" i="1"/>
  <c r="AC15" i="1"/>
  <c r="AC14" i="1"/>
  <c r="V21" i="1"/>
  <c r="U21" i="1"/>
  <c r="T21" i="1"/>
  <c r="S21" i="1"/>
  <c r="R21" i="1"/>
  <c r="Q21" i="1"/>
  <c r="P21" i="1"/>
  <c r="O21" i="1"/>
  <c r="V20" i="1"/>
  <c r="U20" i="1"/>
  <c r="T20" i="1"/>
  <c r="S20" i="1"/>
  <c r="R20" i="1"/>
  <c r="Q20" i="1"/>
  <c r="P20" i="1"/>
  <c r="O20" i="1"/>
  <c r="V19" i="1"/>
  <c r="U19" i="1"/>
  <c r="T19" i="1"/>
  <c r="S19" i="1"/>
  <c r="R19" i="1"/>
  <c r="Q19" i="1"/>
  <c r="P19" i="1"/>
  <c r="O19" i="1"/>
  <c r="V18" i="1"/>
  <c r="U18" i="1"/>
  <c r="T18" i="1"/>
  <c r="S18" i="1"/>
  <c r="R18" i="1"/>
  <c r="Q18" i="1"/>
  <c r="P18" i="1"/>
  <c r="O18" i="1"/>
  <c r="V15" i="1"/>
  <c r="U15" i="1"/>
  <c r="T15" i="1"/>
  <c r="S15" i="1"/>
  <c r="R15" i="1"/>
  <c r="Q15" i="1"/>
  <c r="P15" i="1"/>
  <c r="O15" i="1"/>
  <c r="V14" i="1"/>
  <c r="U14" i="1"/>
  <c r="T14" i="1"/>
  <c r="S14" i="1"/>
  <c r="R14" i="1"/>
  <c r="Q14" i="1"/>
  <c r="P14" i="1"/>
  <c r="O14" i="1"/>
  <c r="V13" i="1"/>
  <c r="U13" i="1"/>
  <c r="T13" i="1"/>
  <c r="S13" i="1"/>
  <c r="R13" i="1"/>
  <c r="Q13" i="1"/>
  <c r="P13" i="1"/>
  <c r="O13" i="1"/>
  <c r="V12" i="1"/>
  <c r="U12" i="1"/>
  <c r="T12" i="1"/>
  <c r="S12" i="1"/>
  <c r="R12" i="1"/>
  <c r="Q12" i="1"/>
  <c r="P12" i="1"/>
  <c r="O12" i="1"/>
  <c r="V11" i="1"/>
  <c r="U11" i="1"/>
  <c r="T11" i="1"/>
  <c r="S11" i="1"/>
  <c r="R11" i="1"/>
  <c r="Q11" i="1"/>
  <c r="P11" i="1"/>
  <c r="O11" i="1"/>
  <c r="V10" i="1"/>
  <c r="U10" i="1"/>
  <c r="T10" i="1"/>
  <c r="S10" i="1"/>
  <c r="R10" i="1"/>
  <c r="Q10" i="1"/>
  <c r="P10" i="1"/>
  <c r="O10" i="1"/>
  <c r="V9" i="1"/>
  <c r="U9" i="1"/>
  <c r="T9" i="1"/>
  <c r="S9" i="1"/>
  <c r="R9" i="1"/>
  <c r="Q9" i="1"/>
  <c r="P9" i="1"/>
  <c r="O9" i="1"/>
  <c r="V8" i="1"/>
  <c r="U8" i="1"/>
  <c r="T8" i="1"/>
  <c r="S8" i="1"/>
  <c r="R8" i="1"/>
  <c r="Q8" i="1"/>
  <c r="P8" i="1"/>
  <c r="O8" i="1"/>
  <c r="V7" i="1"/>
  <c r="U7" i="1"/>
  <c r="T7" i="1"/>
  <c r="S7" i="1"/>
  <c r="R7" i="1"/>
  <c r="Q7" i="1"/>
  <c r="P7" i="1"/>
  <c r="O7" i="1"/>
  <c r="V6" i="1"/>
  <c r="U6" i="1"/>
  <c r="T6" i="1"/>
  <c r="S6" i="1"/>
  <c r="R6" i="1"/>
  <c r="Q6" i="1"/>
  <c r="P6" i="1"/>
  <c r="O6" i="1"/>
  <c r="V5" i="1"/>
  <c r="U5" i="1"/>
  <c r="T5" i="1"/>
  <c r="S5" i="1"/>
  <c r="R5" i="1"/>
  <c r="Q5" i="1"/>
  <c r="P5" i="1"/>
  <c r="O5" i="1"/>
  <c r="V4" i="1"/>
  <c r="U4" i="1"/>
  <c r="T4" i="1"/>
  <c r="S4" i="1"/>
  <c r="R4" i="1"/>
  <c r="Q4" i="1"/>
  <c r="P4" i="1"/>
  <c r="O4" i="1"/>
  <c r="V3" i="1"/>
  <c r="U3" i="1"/>
  <c r="T3" i="1"/>
  <c r="S3" i="1"/>
  <c r="R3" i="1"/>
  <c r="Q3" i="1"/>
  <c r="P3" i="1"/>
  <c r="O3" i="1"/>
  <c r="O29" i="1" l="1"/>
  <c r="D590" i="17"/>
  <c r="D832" i="17"/>
  <c r="D1205" i="17"/>
  <c r="D445" i="17"/>
  <c r="D1542" i="17"/>
  <c r="D253" i="17"/>
  <c r="D222" i="17"/>
  <c r="D772" i="17"/>
  <c r="D693" i="17"/>
  <c r="D1430" i="17"/>
  <c r="D1011" i="17"/>
  <c r="D240" i="17"/>
  <c r="D619" i="17"/>
  <c r="D925" i="17"/>
  <c r="D350" i="17"/>
  <c r="D508" i="17"/>
  <c r="D151" i="17"/>
  <c r="D1123" i="17"/>
  <c r="D808" i="17"/>
  <c r="D1077" i="17"/>
  <c r="D410" i="17"/>
  <c r="D940" i="17"/>
  <c r="D999" i="17"/>
  <c r="D349" i="17"/>
  <c r="D778" i="17"/>
  <c r="D1310" i="17"/>
  <c r="D613" i="17"/>
  <c r="D658" i="17"/>
  <c r="D921" i="17"/>
  <c r="D835" i="17"/>
  <c r="D193" i="17"/>
  <c r="D746" i="17"/>
  <c r="D178" i="17"/>
  <c r="D40" i="17"/>
  <c r="D231" i="17"/>
  <c r="D212" i="17"/>
  <c r="D116" i="17"/>
  <c r="D589" i="17"/>
  <c r="D1092" i="17"/>
  <c r="D504" i="17"/>
  <c r="D588" i="17"/>
  <c r="D596" i="17"/>
  <c r="D872" i="17"/>
  <c r="D207" i="17"/>
  <c r="D364" i="17"/>
  <c r="D894" i="17"/>
  <c r="D242" i="17"/>
  <c r="D206" i="17"/>
  <c r="D313" i="17"/>
  <c r="D714" i="17"/>
  <c r="D828" i="17"/>
  <c r="D48" i="17"/>
  <c r="D163" i="17"/>
  <c r="D1452" i="17"/>
  <c r="D1163" i="17"/>
  <c r="D711" i="17"/>
  <c r="D796" i="17"/>
  <c r="D547" i="17"/>
  <c r="D143" i="17"/>
  <c r="D1068" i="17"/>
  <c r="D141" i="17"/>
  <c r="D1007" i="17"/>
  <c r="D1372" i="17"/>
  <c r="D304" i="17"/>
  <c r="D708" i="17"/>
  <c r="D59" i="17"/>
  <c r="D423" i="17"/>
  <c r="D849" i="17"/>
  <c r="D986" i="17"/>
  <c r="D680" i="17"/>
  <c r="D443" i="17"/>
  <c r="D814" i="17"/>
  <c r="D331" i="17"/>
  <c r="D743" i="17"/>
  <c r="D1243" i="17"/>
  <c r="D656" i="17"/>
  <c r="D906" i="17"/>
  <c r="D742" i="17"/>
  <c r="D870" i="17"/>
  <c r="D792" i="17"/>
  <c r="D1045" i="17"/>
  <c r="D1186" i="17"/>
  <c r="D1347" i="17"/>
  <c r="D1125" i="17"/>
  <c r="D1044" i="17"/>
  <c r="D1436" i="17"/>
  <c r="D1188" i="17"/>
  <c r="D280" i="17"/>
  <c r="D556" i="17"/>
  <c r="D698" i="17"/>
  <c r="D694" i="17"/>
  <c r="D104" i="17"/>
  <c r="D1168" i="17"/>
  <c r="D291" i="17"/>
  <c r="D287" i="17"/>
  <c r="D391" i="17"/>
  <c r="D1523" i="17"/>
  <c r="D1528" i="17"/>
  <c r="D1029" i="17"/>
  <c r="D948" i="17"/>
  <c r="D969" i="17"/>
  <c r="D816" i="17"/>
  <c r="D1529" i="17"/>
  <c r="D734" i="17"/>
  <c r="D610" i="17"/>
  <c r="D230" i="17"/>
  <c r="D119" i="17"/>
  <c r="D1030" i="17"/>
  <c r="D789" i="17"/>
  <c r="D640" i="17"/>
  <c r="D394" i="17"/>
  <c r="D645" i="17"/>
  <c r="D35" i="17"/>
  <c r="D488" i="17"/>
  <c r="D566" i="17"/>
  <c r="D305" i="17"/>
  <c r="D1110" i="17"/>
  <c r="D77" i="17"/>
  <c r="D303" i="17"/>
  <c r="D236" i="17"/>
  <c r="D368" i="17"/>
  <c r="D24" i="17"/>
  <c r="D157" i="17"/>
  <c r="D25" i="17"/>
  <c r="D920" i="17"/>
  <c r="D642" i="17"/>
  <c r="D208" i="17"/>
  <c r="D63" i="17"/>
  <c r="D1026" i="17"/>
  <c r="D165" i="17"/>
  <c r="D1270" i="17"/>
  <c r="D971" i="17"/>
  <c r="D942" i="17"/>
  <c r="D1060" i="17"/>
  <c r="D3" i="17"/>
  <c r="D843" i="17"/>
  <c r="D440" i="17"/>
  <c r="D266" i="17"/>
  <c r="D1181" i="17"/>
  <c r="D724" i="17"/>
  <c r="D909" i="17"/>
  <c r="D251" i="17"/>
  <c r="D1461" i="17"/>
  <c r="D945" i="17"/>
  <c r="D688" i="17"/>
  <c r="D595" i="17"/>
  <c r="D420" i="17"/>
  <c r="D413" i="17"/>
  <c r="D854" i="17"/>
  <c r="D568" i="17"/>
  <c r="D263" i="17"/>
  <c r="D1196" i="17"/>
  <c r="D1199" i="17"/>
  <c r="D1006" i="17"/>
  <c r="D10" i="17"/>
  <c r="D383" i="17"/>
  <c r="D521" i="17"/>
  <c r="D371" i="17"/>
  <c r="D1216" i="17"/>
  <c r="D957" i="17"/>
  <c r="D501" i="17"/>
  <c r="D1164" i="17"/>
  <c r="D1308" i="17"/>
  <c r="D541" i="17"/>
  <c r="D373" i="17"/>
  <c r="D895" i="17"/>
  <c r="D221" i="17"/>
  <c r="D382" i="17"/>
  <c r="D1294" i="17"/>
  <c r="D473" i="17"/>
  <c r="D187" i="17"/>
  <c r="D27" i="17"/>
  <c r="D705" i="17"/>
  <c r="D1023" i="17"/>
  <c r="D136" i="17"/>
  <c r="D283" i="17"/>
  <c r="D1263" i="17"/>
  <c r="D704" i="17"/>
  <c r="D643" i="17"/>
  <c r="D563" i="17"/>
  <c r="D1204" i="17"/>
  <c r="D657" i="17"/>
  <c r="D345" i="17"/>
  <c r="D311" i="17"/>
  <c r="D479" i="17"/>
  <c r="D1120" i="17"/>
  <c r="D850" i="17"/>
  <c r="D405" i="17"/>
  <c r="D127" i="17"/>
  <c r="D1260" i="17"/>
  <c r="D1002" i="17"/>
  <c r="D50" i="17"/>
  <c r="D271" i="17"/>
  <c r="D365" i="17"/>
  <c r="D326" i="17"/>
  <c r="D709" i="17"/>
  <c r="D696" i="17"/>
  <c r="D246" i="17"/>
  <c r="D1135" i="17"/>
  <c r="D306" i="17"/>
  <c r="D1495" i="17"/>
  <c r="D61" i="17"/>
  <c r="D153" i="17"/>
  <c r="D218" i="17"/>
  <c r="D395" i="17"/>
  <c r="D369" i="17"/>
  <c r="D483" i="17"/>
  <c r="D592" i="17"/>
  <c r="D731" i="17"/>
  <c r="D560" i="17"/>
  <c r="D561" i="17"/>
  <c r="D277" i="17"/>
  <c r="D170" i="17"/>
  <c r="D356" i="17"/>
  <c r="D64" i="17"/>
  <c r="D977" i="17"/>
  <c r="D344" i="17"/>
  <c r="D681" i="17"/>
  <c r="D716" i="17"/>
  <c r="D1118" i="17"/>
  <c r="D567" i="17"/>
  <c r="D322" i="17"/>
  <c r="D583" i="17"/>
  <c r="D934" i="17"/>
  <c r="D267" i="17"/>
  <c r="D733" i="17"/>
  <c r="D576" i="17"/>
  <c r="D1544" i="17"/>
  <c r="D256" i="17"/>
  <c r="D411" i="17"/>
  <c r="D751" i="17"/>
  <c r="D1009" i="17"/>
  <c r="D1096" i="17"/>
  <c r="D158" i="17"/>
  <c r="D1067" i="17"/>
  <c r="D889" i="17"/>
  <c r="D632" i="17"/>
  <c r="D555" i="17"/>
  <c r="D960" i="17"/>
  <c r="D441" i="17"/>
  <c r="D466" i="17"/>
  <c r="D98" i="17"/>
  <c r="D367" i="17"/>
  <c r="D885" i="17"/>
  <c r="D866" i="17"/>
  <c r="D851" i="17"/>
  <c r="D1165" i="17"/>
  <c r="D296" i="17"/>
  <c r="D1255" i="17"/>
  <c r="D601" i="17"/>
  <c r="D821" i="17"/>
  <c r="D989" i="17"/>
  <c r="D787" i="17"/>
  <c r="D1149" i="17"/>
  <c r="D864" i="17"/>
  <c r="D500" i="17"/>
  <c r="D699" i="17"/>
  <c r="D893" i="17"/>
  <c r="D366" i="17"/>
  <c r="D1213" i="17"/>
  <c r="D766" i="17"/>
  <c r="D607" i="17"/>
  <c r="D862" i="17"/>
  <c r="D723" i="17"/>
  <c r="D1152" i="17"/>
  <c r="D397" i="17"/>
  <c r="D496" i="17"/>
  <c r="D1208" i="17"/>
  <c r="D1326" i="17"/>
  <c r="D905" i="17"/>
  <c r="D147" i="17"/>
  <c r="D1480" i="17"/>
  <c r="D281" i="17"/>
  <c r="D795" i="17"/>
  <c r="D491" i="17"/>
  <c r="D512" i="17"/>
  <c r="D459" i="17"/>
  <c r="D375" i="17"/>
  <c r="D712" i="17"/>
  <c r="D892" i="17"/>
  <c r="D810" i="17"/>
  <c r="D627" i="17"/>
  <c r="D753" i="17"/>
  <c r="D45" i="17"/>
  <c r="D1355" i="17"/>
  <c r="D517" i="17"/>
  <c r="D1084" i="17"/>
  <c r="D523" i="17"/>
  <c r="D1465" i="17"/>
  <c r="D649" i="17"/>
  <c r="D1150" i="17"/>
  <c r="D562" i="17"/>
  <c r="D421" i="17"/>
  <c r="D232" i="17"/>
  <c r="D767" i="17"/>
  <c r="D762" i="17"/>
  <c r="D60" i="17"/>
  <c r="D929" i="17"/>
  <c r="D846" i="17"/>
  <c r="D784" i="17"/>
  <c r="D1141" i="17"/>
  <c r="D215" i="17"/>
  <c r="D903" i="17"/>
  <c r="D799" i="17"/>
  <c r="D174" i="17"/>
  <c r="D759" i="17"/>
  <c r="D666" i="17"/>
  <c r="D412" i="17"/>
  <c r="D1384" i="17"/>
  <c r="D1177" i="17"/>
  <c r="D898" i="17"/>
  <c r="D825" i="17"/>
  <c r="D819" i="17"/>
  <c r="D1382" i="17"/>
  <c r="D480" i="17"/>
  <c r="D88" i="17"/>
  <c r="D1342" i="17"/>
  <c r="D427" i="17"/>
  <c r="E1502" i="3"/>
  <c r="E1501" i="3"/>
  <c r="E1500" i="3"/>
  <c r="E1499" i="3"/>
  <c r="E1498" i="3"/>
  <c r="E1497" i="3"/>
  <c r="E1496" i="3"/>
  <c r="E1495" i="3"/>
  <c r="E1494" i="3"/>
  <c r="E1493" i="3"/>
  <c r="E1492" i="3"/>
  <c r="E1491" i="3"/>
  <c r="E1490" i="3"/>
  <c r="E1489" i="3"/>
  <c r="E1488" i="3"/>
  <c r="E1487" i="3"/>
  <c r="E1486" i="3"/>
  <c r="E1485" i="3"/>
  <c r="E1484" i="3"/>
  <c r="E1483" i="3"/>
  <c r="E1482" i="3"/>
  <c r="E1481" i="3"/>
  <c r="E1480" i="3"/>
  <c r="E1479" i="3"/>
  <c r="E1478" i="3"/>
  <c r="E1477" i="3"/>
  <c r="E1476" i="3"/>
  <c r="E1475" i="3"/>
  <c r="E1474" i="3"/>
  <c r="E1473" i="3"/>
  <c r="E1472" i="3"/>
  <c r="E1471" i="3"/>
  <c r="E1470" i="3"/>
  <c r="E1469" i="3"/>
  <c r="E1468" i="3"/>
  <c r="E1467" i="3"/>
  <c r="E1466" i="3"/>
  <c r="E1465" i="3"/>
  <c r="E1464" i="3"/>
  <c r="E1463" i="3"/>
  <c r="E1462" i="3"/>
  <c r="E1461" i="3"/>
  <c r="E1460" i="3"/>
  <c r="E1459" i="3"/>
  <c r="E1458" i="3"/>
  <c r="E1457" i="3"/>
  <c r="E1456" i="3"/>
  <c r="E1455" i="3"/>
  <c r="E1454" i="3"/>
  <c r="E1453" i="3"/>
  <c r="E1452" i="3"/>
  <c r="E1451" i="3"/>
  <c r="E1450" i="3"/>
  <c r="E1449" i="3"/>
  <c r="E1448" i="3"/>
  <c r="E1447" i="3"/>
  <c r="E1446" i="3"/>
  <c r="E1445" i="3"/>
  <c r="E1444" i="3"/>
  <c r="E1443" i="3"/>
  <c r="E1442" i="3"/>
  <c r="E1441" i="3"/>
  <c r="E1440" i="3"/>
  <c r="E1439" i="3"/>
  <c r="E1438" i="3"/>
  <c r="E1437" i="3"/>
  <c r="E1436" i="3"/>
  <c r="E1435" i="3"/>
  <c r="E1434" i="3"/>
  <c r="E1433" i="3"/>
  <c r="E1432" i="3"/>
  <c r="E1431" i="3"/>
  <c r="E1430" i="3"/>
  <c r="E1429" i="3"/>
  <c r="E1428" i="3"/>
  <c r="E1427" i="3"/>
  <c r="E1426" i="3"/>
  <c r="E1425" i="3"/>
  <c r="E1424" i="3"/>
  <c r="E1423" i="3"/>
  <c r="E1422" i="3"/>
  <c r="E1421" i="3"/>
  <c r="E1420" i="3"/>
  <c r="E1419" i="3"/>
  <c r="E1418" i="3"/>
  <c r="E1417" i="3"/>
  <c r="E1416" i="3"/>
  <c r="E1415" i="3"/>
  <c r="E1414" i="3"/>
  <c r="E1413" i="3"/>
  <c r="E1412" i="3"/>
  <c r="E1411" i="3"/>
  <c r="E1410" i="3"/>
  <c r="E1409" i="3"/>
  <c r="E1408" i="3"/>
  <c r="E1407" i="3"/>
  <c r="E1406" i="3"/>
  <c r="E1405" i="3"/>
  <c r="E1404" i="3"/>
  <c r="E1403" i="3"/>
  <c r="E1402" i="3"/>
  <c r="E1401" i="3"/>
  <c r="E1400" i="3"/>
  <c r="E1399" i="3"/>
  <c r="E1398" i="3"/>
  <c r="E1397" i="3"/>
  <c r="E1396" i="3"/>
  <c r="E1395" i="3"/>
  <c r="E1394" i="3"/>
  <c r="E1393" i="3"/>
  <c r="E1392" i="3"/>
  <c r="E1391" i="3"/>
  <c r="E1390" i="3"/>
  <c r="E1389" i="3"/>
  <c r="E1388" i="3"/>
  <c r="E1387" i="3"/>
  <c r="E1386" i="3"/>
  <c r="E1385" i="3"/>
  <c r="E1384" i="3"/>
  <c r="E1383" i="3"/>
  <c r="E1382" i="3"/>
  <c r="E1381" i="3"/>
  <c r="E1380" i="3"/>
  <c r="E1379" i="3"/>
  <c r="E1378" i="3"/>
  <c r="E1377" i="3"/>
  <c r="E1376" i="3"/>
  <c r="E1375" i="3"/>
  <c r="E1374" i="3"/>
  <c r="E1373" i="3"/>
  <c r="E1372" i="3"/>
  <c r="E1371" i="3"/>
  <c r="E1370" i="3"/>
  <c r="E1369" i="3"/>
  <c r="E1368" i="3"/>
  <c r="E1367" i="3"/>
  <c r="E1366" i="3"/>
  <c r="E1365" i="3"/>
  <c r="E1364" i="3"/>
  <c r="E1363" i="3"/>
  <c r="E1362" i="3"/>
  <c r="E1361" i="3"/>
  <c r="E1360" i="3"/>
  <c r="E1359" i="3"/>
  <c r="E1358" i="3"/>
  <c r="E1357" i="3"/>
  <c r="E1356" i="3"/>
  <c r="E1355" i="3"/>
  <c r="E1354" i="3"/>
  <c r="E1353" i="3"/>
  <c r="E1352" i="3"/>
  <c r="E1351" i="3"/>
  <c r="E1350" i="3"/>
  <c r="E1349" i="3"/>
  <c r="E1348" i="3"/>
  <c r="E1347" i="3"/>
  <c r="E1346" i="3"/>
  <c r="E1345" i="3"/>
  <c r="E1344" i="3"/>
  <c r="E1343" i="3"/>
  <c r="E1342" i="3"/>
  <c r="E1341" i="3"/>
  <c r="E1340" i="3"/>
  <c r="E1339" i="3"/>
  <c r="E1338" i="3"/>
  <c r="E1337" i="3"/>
  <c r="E1336" i="3"/>
  <c r="E1335" i="3"/>
  <c r="E1334" i="3"/>
  <c r="E1333" i="3"/>
  <c r="E1332" i="3"/>
  <c r="E1331" i="3"/>
  <c r="E1330" i="3"/>
  <c r="E1329" i="3"/>
  <c r="E1328" i="3"/>
  <c r="E1327" i="3"/>
  <c r="E1326" i="3"/>
  <c r="E1325" i="3"/>
  <c r="E1324" i="3"/>
  <c r="E1323" i="3"/>
  <c r="E1322" i="3"/>
  <c r="E1321" i="3"/>
  <c r="E1320" i="3"/>
  <c r="E1319" i="3"/>
  <c r="E1318" i="3"/>
  <c r="E1317" i="3"/>
  <c r="E1316" i="3"/>
  <c r="E1315" i="3"/>
  <c r="E1314" i="3"/>
  <c r="E1313" i="3"/>
  <c r="E1312" i="3"/>
  <c r="E1311" i="3"/>
  <c r="E1310" i="3"/>
  <c r="E1309" i="3"/>
  <c r="E1308" i="3"/>
  <c r="E1307" i="3"/>
  <c r="E1306" i="3"/>
  <c r="E1305" i="3"/>
  <c r="E1304" i="3"/>
  <c r="E1303" i="3"/>
  <c r="E1302" i="3"/>
  <c r="E1301" i="3"/>
  <c r="E1300" i="3"/>
  <c r="E1299" i="3"/>
  <c r="E1298" i="3"/>
  <c r="E1297" i="3"/>
  <c r="E1296" i="3"/>
  <c r="E1295" i="3"/>
  <c r="E1294" i="3"/>
  <c r="E1293" i="3"/>
  <c r="E1292" i="3"/>
  <c r="E1291" i="3"/>
  <c r="E1290" i="3"/>
  <c r="E1289" i="3"/>
  <c r="E1288" i="3"/>
  <c r="E1287" i="3"/>
  <c r="E1286" i="3"/>
  <c r="E1285" i="3"/>
  <c r="E1284" i="3"/>
  <c r="E1283" i="3"/>
  <c r="E1282" i="3"/>
  <c r="E1281" i="3"/>
  <c r="E1280" i="3"/>
  <c r="E1279" i="3"/>
  <c r="E1278" i="3"/>
  <c r="E1277" i="3"/>
  <c r="E1276" i="3"/>
  <c r="E1275" i="3"/>
  <c r="E1274" i="3"/>
  <c r="E1273" i="3"/>
  <c r="E1272" i="3"/>
  <c r="E1271" i="3"/>
  <c r="E1270" i="3"/>
  <c r="E1269" i="3"/>
  <c r="E1268" i="3"/>
  <c r="E1267" i="3"/>
  <c r="E1266" i="3"/>
  <c r="E1265" i="3"/>
  <c r="E1264" i="3"/>
  <c r="E1263" i="3"/>
  <c r="E1262" i="3"/>
  <c r="E1261" i="3"/>
  <c r="E1260" i="3"/>
  <c r="E1259" i="3"/>
  <c r="E1258" i="3"/>
  <c r="E1257" i="3"/>
  <c r="E1256" i="3"/>
  <c r="E1255" i="3"/>
  <c r="E1254" i="3"/>
  <c r="E1253" i="3"/>
  <c r="E1252" i="3"/>
  <c r="E1251" i="3"/>
  <c r="E1250" i="3"/>
  <c r="E1249" i="3"/>
  <c r="E1248" i="3"/>
  <c r="E1247" i="3"/>
  <c r="E1246" i="3"/>
  <c r="E1245" i="3"/>
  <c r="E1244" i="3"/>
  <c r="E1243" i="3"/>
  <c r="E1242" i="3"/>
  <c r="E1241" i="3"/>
  <c r="E1240" i="3"/>
  <c r="E1239" i="3"/>
  <c r="E1238" i="3"/>
  <c r="E1237" i="3"/>
  <c r="E1236" i="3"/>
  <c r="E1235" i="3"/>
  <c r="E1234" i="3"/>
  <c r="E1233" i="3"/>
  <c r="E1232" i="3"/>
  <c r="E1231" i="3"/>
  <c r="E1230" i="3"/>
  <c r="E1229" i="3"/>
  <c r="E1228" i="3"/>
  <c r="E1227" i="3"/>
  <c r="E1226" i="3"/>
  <c r="E1225" i="3"/>
  <c r="E1224" i="3"/>
  <c r="E1223" i="3"/>
  <c r="E1222" i="3"/>
  <c r="E1221" i="3"/>
  <c r="E1220" i="3"/>
  <c r="E1219" i="3"/>
  <c r="E1218" i="3"/>
  <c r="E1217" i="3"/>
  <c r="E1216" i="3"/>
  <c r="E1215" i="3"/>
  <c r="E1214" i="3"/>
  <c r="E1213" i="3"/>
  <c r="E1212" i="3"/>
  <c r="E1211" i="3"/>
  <c r="E1210" i="3"/>
  <c r="E1209" i="3"/>
  <c r="E1208" i="3"/>
  <c r="E1207" i="3"/>
  <c r="E1206" i="3"/>
  <c r="E1205" i="3"/>
  <c r="E1204" i="3"/>
  <c r="E1203" i="3"/>
  <c r="E1202" i="3"/>
  <c r="E1201" i="3"/>
  <c r="E1200" i="3"/>
  <c r="E1199" i="3"/>
  <c r="E1198" i="3"/>
  <c r="E1197" i="3"/>
  <c r="E1196" i="3"/>
  <c r="E1195" i="3"/>
  <c r="E1194" i="3"/>
  <c r="E1193" i="3"/>
  <c r="E1192" i="3"/>
  <c r="E1191" i="3"/>
  <c r="E1190" i="3"/>
  <c r="E1189" i="3"/>
  <c r="E1188" i="3"/>
  <c r="E1187" i="3"/>
  <c r="E1186" i="3"/>
  <c r="E1185" i="3"/>
  <c r="E1184" i="3"/>
  <c r="E1183" i="3"/>
  <c r="E1182" i="3"/>
  <c r="E1181" i="3"/>
  <c r="E1180" i="3"/>
  <c r="E1179" i="3"/>
  <c r="E1178" i="3"/>
  <c r="E1177" i="3"/>
  <c r="E1176" i="3"/>
  <c r="E1175" i="3"/>
  <c r="E1174" i="3"/>
  <c r="E1173" i="3"/>
  <c r="E1172" i="3"/>
  <c r="E1171" i="3"/>
  <c r="E1170" i="3"/>
  <c r="E1169" i="3"/>
  <c r="E1168" i="3"/>
  <c r="E1167" i="3"/>
  <c r="E1166" i="3"/>
  <c r="E1165" i="3"/>
  <c r="E1164" i="3"/>
  <c r="E1163" i="3"/>
  <c r="E1162" i="3"/>
  <c r="E1161" i="3"/>
  <c r="E1160" i="3"/>
  <c r="E1159" i="3"/>
  <c r="E1158" i="3"/>
  <c r="E1157" i="3"/>
  <c r="E1156" i="3"/>
  <c r="E1155" i="3"/>
  <c r="E1154" i="3"/>
  <c r="E1153" i="3"/>
  <c r="E1152" i="3"/>
  <c r="E1151" i="3"/>
  <c r="E1150" i="3"/>
  <c r="E1149" i="3"/>
  <c r="E1148" i="3"/>
  <c r="E1147" i="3"/>
  <c r="E1146" i="3"/>
  <c r="E1145" i="3"/>
  <c r="E1144" i="3"/>
  <c r="E1143" i="3"/>
  <c r="E1142" i="3"/>
  <c r="E1141" i="3"/>
  <c r="E1140" i="3"/>
  <c r="E1139" i="3"/>
  <c r="E1138" i="3"/>
  <c r="E1137" i="3"/>
  <c r="E1136" i="3"/>
  <c r="E1135" i="3"/>
  <c r="E1134" i="3"/>
  <c r="E1133" i="3"/>
  <c r="E1132" i="3"/>
  <c r="E1131" i="3"/>
  <c r="E1130" i="3"/>
  <c r="E1129" i="3"/>
  <c r="E1128" i="3"/>
  <c r="E1127" i="3"/>
  <c r="E1126" i="3"/>
  <c r="E1125" i="3"/>
  <c r="E1124" i="3"/>
  <c r="E1123" i="3"/>
  <c r="E1122" i="3"/>
  <c r="E1121" i="3"/>
  <c r="E1120" i="3"/>
  <c r="E1119" i="3"/>
  <c r="E1118" i="3"/>
  <c r="E1117" i="3"/>
  <c r="E1116" i="3"/>
  <c r="E1115" i="3"/>
  <c r="E1114" i="3"/>
  <c r="E1113" i="3"/>
  <c r="E1112" i="3"/>
  <c r="E1111" i="3"/>
  <c r="E1110" i="3"/>
  <c r="E1109" i="3"/>
  <c r="E1108" i="3"/>
  <c r="E1107" i="3"/>
  <c r="E1106" i="3"/>
  <c r="E1105" i="3"/>
  <c r="E1104" i="3"/>
  <c r="E1103" i="3"/>
  <c r="E1102" i="3"/>
  <c r="E1101" i="3"/>
  <c r="E1100" i="3"/>
  <c r="E1099" i="3"/>
  <c r="E1098" i="3"/>
  <c r="E1097" i="3"/>
  <c r="E1096" i="3"/>
  <c r="E1095" i="3"/>
  <c r="E1094" i="3"/>
  <c r="E1093" i="3"/>
  <c r="E1092" i="3"/>
  <c r="E1091" i="3"/>
  <c r="E1090" i="3"/>
  <c r="E1089" i="3"/>
  <c r="E1088" i="3"/>
  <c r="E1087" i="3"/>
  <c r="E1086" i="3"/>
  <c r="E1085" i="3"/>
  <c r="E1084" i="3"/>
  <c r="E1083" i="3"/>
  <c r="E1082" i="3"/>
  <c r="E1081" i="3"/>
  <c r="E1080" i="3"/>
  <c r="E1079" i="3"/>
  <c r="E1078" i="3"/>
  <c r="E1077" i="3"/>
  <c r="E1076" i="3"/>
  <c r="E1075" i="3"/>
  <c r="E1074" i="3"/>
  <c r="E1073" i="3"/>
  <c r="E1072" i="3"/>
  <c r="E1071" i="3"/>
  <c r="E1070" i="3"/>
  <c r="E1069" i="3"/>
  <c r="E1068" i="3"/>
  <c r="E1067" i="3"/>
  <c r="E1066" i="3"/>
  <c r="E1065" i="3"/>
  <c r="E1064" i="3"/>
  <c r="E1063" i="3"/>
  <c r="E1062" i="3"/>
  <c r="E1061" i="3"/>
  <c r="E1060" i="3"/>
  <c r="E1059" i="3"/>
  <c r="E1058" i="3"/>
  <c r="E1057" i="3"/>
  <c r="E1056" i="3"/>
  <c r="E1055" i="3"/>
  <c r="E1054" i="3"/>
  <c r="E1053" i="3"/>
  <c r="E1052" i="3"/>
  <c r="E1051" i="3"/>
  <c r="E1050" i="3"/>
  <c r="E1049" i="3"/>
  <c r="E1048" i="3"/>
  <c r="E1047" i="3"/>
  <c r="E1046" i="3"/>
  <c r="E1045" i="3"/>
  <c r="E1044" i="3"/>
  <c r="E1043" i="3"/>
  <c r="E1042" i="3"/>
  <c r="E1041" i="3"/>
  <c r="E1040" i="3"/>
  <c r="E1039" i="3"/>
  <c r="E1038" i="3"/>
  <c r="E1037" i="3"/>
  <c r="E1036" i="3"/>
  <c r="E1035" i="3"/>
  <c r="E1034" i="3"/>
  <c r="E1033" i="3"/>
  <c r="E1032" i="3"/>
  <c r="E1031" i="3"/>
  <c r="E1030" i="3"/>
  <c r="E1029" i="3"/>
  <c r="E1028" i="3"/>
  <c r="E1027" i="3"/>
  <c r="E1026" i="3"/>
  <c r="E1025" i="3"/>
  <c r="E1024" i="3"/>
  <c r="E1023" i="3"/>
  <c r="E1022" i="3"/>
  <c r="E1021" i="3"/>
  <c r="E1020" i="3"/>
  <c r="E1019" i="3"/>
  <c r="E1018" i="3"/>
  <c r="E1017" i="3"/>
  <c r="E1016" i="3"/>
  <c r="E1015" i="3"/>
  <c r="E1014" i="3"/>
  <c r="E1013" i="3"/>
  <c r="E1012" i="3"/>
  <c r="E1011" i="3"/>
  <c r="E1010" i="3"/>
  <c r="E1009" i="3"/>
  <c r="E1008" i="3"/>
  <c r="E1007" i="3"/>
  <c r="E1006" i="3"/>
  <c r="E1005" i="3"/>
  <c r="E1004" i="3"/>
  <c r="E1003" i="3"/>
  <c r="E1002" i="3"/>
  <c r="E1001" i="3"/>
  <c r="E1000" i="3"/>
  <c r="E999" i="3"/>
  <c r="E998" i="3"/>
  <c r="E997" i="3"/>
  <c r="E996" i="3"/>
  <c r="E995" i="3"/>
  <c r="E994" i="3"/>
  <c r="E993" i="3"/>
  <c r="E992" i="3"/>
  <c r="E991" i="3"/>
  <c r="E990" i="3"/>
  <c r="E989" i="3"/>
  <c r="E988" i="3"/>
  <c r="E987" i="3"/>
  <c r="E986" i="3"/>
  <c r="E985" i="3"/>
  <c r="E984" i="3"/>
  <c r="E983" i="3"/>
  <c r="E982" i="3"/>
  <c r="E981" i="3"/>
  <c r="E980" i="3"/>
  <c r="E979" i="3"/>
  <c r="E978" i="3"/>
  <c r="E977" i="3"/>
  <c r="E976" i="3"/>
  <c r="E975" i="3"/>
  <c r="E974" i="3"/>
  <c r="E973" i="3"/>
  <c r="E972" i="3"/>
  <c r="E971" i="3"/>
  <c r="E970" i="3"/>
  <c r="E969" i="3"/>
  <c r="E968" i="3"/>
  <c r="E967" i="3"/>
  <c r="E966" i="3"/>
  <c r="E965" i="3"/>
  <c r="E964" i="3"/>
  <c r="E963" i="3"/>
  <c r="E962" i="3"/>
  <c r="E961" i="3"/>
  <c r="E960" i="3"/>
  <c r="E959" i="3"/>
  <c r="E958" i="3"/>
  <c r="E957" i="3"/>
  <c r="E956" i="3"/>
  <c r="E955" i="3"/>
  <c r="E954" i="3"/>
  <c r="E953" i="3"/>
  <c r="E952" i="3"/>
  <c r="E951" i="3"/>
  <c r="E950" i="3"/>
  <c r="E949" i="3"/>
  <c r="E948" i="3"/>
  <c r="E947" i="3"/>
  <c r="E946" i="3"/>
  <c r="E945" i="3"/>
  <c r="E944" i="3"/>
  <c r="E943" i="3"/>
  <c r="E942" i="3"/>
  <c r="E941" i="3"/>
  <c r="E940" i="3"/>
  <c r="E939" i="3"/>
  <c r="E938" i="3"/>
  <c r="E937" i="3"/>
  <c r="E936" i="3"/>
  <c r="E935" i="3"/>
  <c r="E934" i="3"/>
  <c r="E933" i="3"/>
  <c r="E932" i="3"/>
  <c r="E931" i="3"/>
  <c r="E930" i="3"/>
  <c r="E929" i="3"/>
  <c r="E928" i="3"/>
  <c r="E927" i="3"/>
  <c r="E926" i="3"/>
  <c r="E925" i="3"/>
  <c r="E924" i="3"/>
  <c r="E923" i="3"/>
  <c r="E922" i="3"/>
  <c r="E921" i="3"/>
  <c r="E920" i="3"/>
  <c r="E919" i="3"/>
  <c r="E918" i="3"/>
  <c r="E917" i="3"/>
  <c r="E916" i="3"/>
  <c r="E915" i="3"/>
  <c r="E914" i="3"/>
  <c r="E913" i="3"/>
  <c r="E912" i="3"/>
  <c r="E911" i="3"/>
  <c r="E910" i="3"/>
  <c r="E909" i="3"/>
  <c r="E908" i="3"/>
  <c r="E907" i="3"/>
  <c r="E906" i="3"/>
  <c r="E905" i="3"/>
  <c r="E904" i="3"/>
  <c r="E903" i="3"/>
  <c r="E902" i="3"/>
  <c r="E901" i="3"/>
  <c r="E900" i="3"/>
  <c r="E899" i="3"/>
  <c r="E898" i="3"/>
  <c r="E897" i="3"/>
  <c r="E896" i="3"/>
  <c r="E895" i="3"/>
  <c r="E894" i="3"/>
  <c r="E893" i="3"/>
  <c r="E892" i="3"/>
  <c r="E891" i="3"/>
  <c r="E890" i="3"/>
  <c r="E889" i="3"/>
  <c r="E888" i="3"/>
  <c r="E887" i="3"/>
  <c r="E886" i="3"/>
  <c r="E885" i="3"/>
  <c r="E884" i="3"/>
  <c r="E883" i="3"/>
  <c r="E882" i="3"/>
  <c r="E881" i="3"/>
  <c r="E880" i="3"/>
  <c r="E879" i="3"/>
  <c r="E878" i="3"/>
  <c r="E877" i="3"/>
  <c r="E876" i="3"/>
  <c r="E875" i="3"/>
  <c r="E874" i="3"/>
  <c r="E873" i="3"/>
  <c r="E872" i="3"/>
  <c r="E871" i="3"/>
  <c r="E870" i="3"/>
  <c r="E869" i="3"/>
  <c r="E868" i="3"/>
  <c r="E867" i="3"/>
  <c r="E866" i="3"/>
  <c r="E865" i="3"/>
  <c r="E864" i="3"/>
  <c r="E863" i="3"/>
  <c r="E862" i="3"/>
  <c r="E861" i="3"/>
  <c r="E860" i="3"/>
  <c r="E859" i="3"/>
  <c r="E858" i="3"/>
  <c r="E857" i="3"/>
  <c r="E856" i="3"/>
  <c r="E855" i="3"/>
  <c r="E854" i="3"/>
  <c r="E853" i="3"/>
  <c r="E852" i="3"/>
  <c r="E851" i="3"/>
  <c r="E850" i="3"/>
  <c r="E849" i="3"/>
  <c r="E848" i="3"/>
  <c r="E847" i="3"/>
  <c r="E846" i="3"/>
  <c r="E845" i="3"/>
  <c r="E844" i="3"/>
  <c r="E843" i="3"/>
  <c r="E842" i="3"/>
  <c r="E841" i="3"/>
  <c r="E840" i="3"/>
  <c r="E839" i="3"/>
  <c r="E838" i="3"/>
  <c r="E837" i="3"/>
  <c r="E836" i="3"/>
  <c r="E835" i="3"/>
  <c r="E834" i="3"/>
  <c r="E833" i="3"/>
  <c r="E832" i="3"/>
  <c r="E831" i="3"/>
  <c r="E830" i="3"/>
  <c r="E829" i="3"/>
  <c r="E828" i="3"/>
  <c r="E827" i="3"/>
  <c r="E826" i="3"/>
  <c r="E825" i="3"/>
  <c r="E824" i="3"/>
  <c r="E823" i="3"/>
  <c r="E822" i="3"/>
  <c r="E821" i="3"/>
  <c r="E820" i="3"/>
  <c r="E819" i="3"/>
  <c r="E818" i="3"/>
  <c r="E817" i="3"/>
  <c r="E816" i="3"/>
  <c r="E815" i="3"/>
  <c r="E814" i="3"/>
  <c r="E813" i="3"/>
  <c r="E812" i="3"/>
  <c r="E811" i="3"/>
  <c r="E810" i="3"/>
  <c r="E809" i="3"/>
  <c r="E808" i="3"/>
  <c r="E807" i="3"/>
  <c r="E806" i="3"/>
  <c r="E805" i="3"/>
  <c r="E804" i="3"/>
  <c r="E803" i="3"/>
  <c r="E802" i="3"/>
  <c r="E801" i="3"/>
  <c r="E800" i="3"/>
  <c r="E799" i="3"/>
  <c r="E798" i="3"/>
  <c r="E797" i="3"/>
  <c r="E796" i="3"/>
  <c r="E795" i="3"/>
  <c r="E794" i="3"/>
  <c r="E793" i="3"/>
  <c r="E792" i="3"/>
  <c r="E791" i="3"/>
  <c r="E790" i="3"/>
  <c r="E789" i="3"/>
  <c r="E788" i="3"/>
  <c r="E787" i="3"/>
  <c r="E786" i="3"/>
  <c r="E785" i="3"/>
  <c r="E784" i="3"/>
  <c r="E783" i="3"/>
  <c r="E782" i="3"/>
  <c r="E781" i="3"/>
  <c r="E780" i="3"/>
  <c r="E779" i="3"/>
  <c r="E778" i="3"/>
  <c r="E777" i="3"/>
  <c r="E776" i="3"/>
  <c r="E775" i="3"/>
  <c r="E774" i="3"/>
  <c r="E773" i="3"/>
  <c r="E772" i="3"/>
  <c r="E771" i="3"/>
  <c r="E770" i="3"/>
  <c r="E769" i="3"/>
  <c r="E768" i="3"/>
  <c r="E767" i="3"/>
  <c r="E766" i="3"/>
  <c r="E765" i="3"/>
  <c r="E764" i="3"/>
  <c r="E763" i="3"/>
  <c r="E762" i="3"/>
  <c r="E761" i="3"/>
  <c r="E760" i="3"/>
  <c r="E759" i="3"/>
  <c r="E758" i="3"/>
  <c r="E757" i="3"/>
  <c r="E756" i="3"/>
  <c r="E755" i="3"/>
  <c r="E754" i="3"/>
  <c r="E753" i="3"/>
  <c r="E752" i="3"/>
  <c r="E751" i="3"/>
  <c r="E750" i="3"/>
  <c r="E749" i="3"/>
  <c r="E748" i="3"/>
  <c r="E747" i="3"/>
  <c r="E746" i="3"/>
  <c r="E745" i="3"/>
  <c r="E744" i="3"/>
  <c r="E743" i="3"/>
  <c r="E742" i="3"/>
  <c r="E741" i="3"/>
  <c r="E740" i="3"/>
  <c r="E739" i="3"/>
  <c r="E738" i="3"/>
  <c r="E737" i="3"/>
  <c r="E736" i="3"/>
  <c r="E735" i="3"/>
  <c r="E734" i="3"/>
  <c r="E733" i="3"/>
  <c r="E732" i="3"/>
  <c r="E731" i="3"/>
  <c r="E730" i="3"/>
  <c r="E729" i="3"/>
  <c r="E728" i="3"/>
  <c r="E727" i="3"/>
  <c r="E726" i="3"/>
  <c r="E725" i="3"/>
  <c r="E724" i="3"/>
  <c r="E723" i="3"/>
  <c r="E722" i="3"/>
  <c r="E721" i="3"/>
  <c r="E720" i="3"/>
  <c r="E719" i="3"/>
  <c r="E718" i="3"/>
  <c r="E717" i="3"/>
  <c r="E716" i="3"/>
  <c r="E715" i="3"/>
  <c r="E714" i="3"/>
  <c r="E713" i="3"/>
  <c r="E712" i="3"/>
  <c r="E711" i="3"/>
  <c r="E710" i="3"/>
  <c r="E709" i="3"/>
  <c r="E708" i="3"/>
  <c r="E707" i="3"/>
  <c r="E706" i="3"/>
  <c r="E705" i="3"/>
  <c r="E704" i="3"/>
  <c r="E703" i="3"/>
  <c r="E702" i="3"/>
  <c r="E701" i="3"/>
  <c r="E700" i="3"/>
  <c r="E699" i="3"/>
  <c r="E698" i="3"/>
  <c r="E697" i="3"/>
  <c r="E696" i="3"/>
  <c r="E695" i="3"/>
  <c r="E694" i="3"/>
  <c r="E693" i="3"/>
  <c r="E692" i="3"/>
  <c r="E691" i="3"/>
  <c r="E690" i="3"/>
  <c r="E689"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42" i="3"/>
  <c r="E641" i="3"/>
  <c r="E640" i="3"/>
  <c r="E639" i="3"/>
  <c r="E638" i="3"/>
  <c r="E637" i="3"/>
  <c r="E636" i="3"/>
  <c r="E635" i="3"/>
  <c r="E634" i="3"/>
  <c r="E633" i="3"/>
  <c r="E632" i="3"/>
  <c r="E631" i="3"/>
  <c r="E630" i="3"/>
  <c r="E629" i="3"/>
  <c r="E628" i="3"/>
  <c r="E627" i="3"/>
  <c r="E626" i="3"/>
  <c r="E625" i="3"/>
  <c r="E624" i="3"/>
  <c r="E623" i="3"/>
  <c r="E622" i="3"/>
  <c r="E621" i="3"/>
  <c r="E620" i="3"/>
  <c r="E619" i="3"/>
  <c r="E618" i="3"/>
  <c r="E617" i="3"/>
  <c r="E616" i="3"/>
  <c r="E615" i="3"/>
  <c r="E614" i="3"/>
  <c r="E613" i="3"/>
  <c r="E612" i="3"/>
  <c r="E611" i="3"/>
  <c r="E610" i="3"/>
  <c r="E609" i="3"/>
  <c r="E608" i="3"/>
  <c r="E607" i="3"/>
  <c r="E606" i="3"/>
  <c r="E605" i="3"/>
  <c r="E604" i="3"/>
  <c r="E603" i="3"/>
  <c r="E602" i="3"/>
  <c r="E601" i="3"/>
  <c r="E600" i="3"/>
  <c r="E599" i="3"/>
  <c r="E598" i="3"/>
  <c r="E597" i="3"/>
  <c r="E596" i="3"/>
  <c r="E595" i="3"/>
  <c r="E594" i="3"/>
  <c r="E593" i="3"/>
  <c r="E592" i="3"/>
  <c r="E591" i="3"/>
  <c r="E590" i="3"/>
  <c r="E589" i="3"/>
  <c r="E588" i="3"/>
  <c r="E587"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40" i="3"/>
  <c r="E539" i="3"/>
  <c r="E538" i="3"/>
  <c r="E537" i="3"/>
  <c r="E536" i="3"/>
  <c r="E535" i="3"/>
  <c r="E534" i="3"/>
  <c r="E533" i="3"/>
  <c r="E532" i="3"/>
  <c r="E531" i="3"/>
  <c r="E530" i="3"/>
  <c r="E529" i="3"/>
  <c r="E528" i="3"/>
  <c r="E527" i="3"/>
  <c r="E526" i="3"/>
  <c r="E525" i="3"/>
  <c r="E524" i="3"/>
  <c r="E523" i="3"/>
  <c r="E522" i="3"/>
  <c r="E521" i="3"/>
  <c r="E520" i="3"/>
  <c r="E519" i="3"/>
  <c r="E518" i="3"/>
  <c r="E517" i="3"/>
  <c r="E516" i="3"/>
  <c r="E515" i="3"/>
  <c r="E514" i="3"/>
  <c r="E513" i="3"/>
  <c r="E512" i="3"/>
  <c r="E511" i="3"/>
  <c r="E510" i="3"/>
  <c r="E509" i="3"/>
  <c r="E508" i="3"/>
  <c r="E507" i="3"/>
  <c r="E506" i="3"/>
  <c r="E505" i="3"/>
  <c r="E504" i="3"/>
  <c r="E503" i="3"/>
  <c r="E502" i="3"/>
  <c r="E501" i="3"/>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 r="E2" i="3"/>
  <c r="P6" i="2"/>
  <c r="Q6" i="2"/>
  <c r="O6" i="2"/>
  <c r="P5" i="2"/>
  <c r="Q5" i="2"/>
  <c r="O5" i="2"/>
  <c r="P4" i="2"/>
  <c r="Q4" i="2"/>
  <c r="O4" i="2"/>
  <c r="N6" i="2"/>
  <c r="N5" i="2"/>
  <c r="N4" i="2"/>
  <c r="U5" i="7" l="1"/>
  <c r="U6" i="7"/>
  <c r="U4" i="7"/>
  <c r="J46" i="8"/>
  <c r="I46" i="8"/>
  <c r="H46" i="8"/>
  <c r="G46" i="8"/>
  <c r="F46" i="8"/>
  <c r="E46" i="8"/>
  <c r="D46" i="8"/>
  <c r="C46" i="8"/>
  <c r="J43" i="8"/>
  <c r="I43" i="8"/>
  <c r="H43" i="8"/>
  <c r="G43" i="8"/>
  <c r="F43" i="8"/>
  <c r="E43" i="8"/>
  <c r="D43" i="8"/>
  <c r="C43" i="8"/>
  <c r="J40" i="8"/>
  <c r="I40" i="8"/>
  <c r="H40" i="8"/>
  <c r="G40" i="8"/>
  <c r="F40" i="8"/>
  <c r="E40" i="8"/>
  <c r="D40" i="8"/>
  <c r="C40" i="8"/>
  <c r="J37" i="8"/>
  <c r="I37" i="8"/>
  <c r="H37" i="8"/>
  <c r="G37" i="8"/>
  <c r="F37" i="8"/>
  <c r="E37" i="8"/>
  <c r="D37" i="8"/>
  <c r="C37" i="8"/>
  <c r="J34" i="8"/>
  <c r="I34" i="8"/>
  <c r="H34" i="8"/>
  <c r="G34" i="8"/>
  <c r="F34" i="8"/>
  <c r="E34" i="8"/>
  <c r="D34" i="8"/>
  <c r="C34" i="8"/>
  <c r="J31" i="8"/>
  <c r="I31" i="8"/>
  <c r="H31" i="8"/>
  <c r="G31" i="8"/>
  <c r="F31" i="8"/>
  <c r="E31" i="8"/>
  <c r="D31" i="8"/>
  <c r="C31" i="8"/>
  <c r="J28" i="8"/>
  <c r="I28" i="8"/>
  <c r="H28" i="8"/>
  <c r="G28" i="8"/>
  <c r="F28" i="8"/>
  <c r="E28" i="8"/>
  <c r="D28" i="8"/>
  <c r="C28" i="8"/>
  <c r="J25" i="8"/>
  <c r="I25" i="8"/>
  <c r="H25" i="8"/>
  <c r="G25" i="8"/>
  <c r="F25" i="8"/>
  <c r="E25" i="8"/>
  <c r="D25" i="8"/>
  <c r="C25" i="8"/>
  <c r="J22" i="8"/>
  <c r="I22" i="8"/>
  <c r="H22" i="8"/>
  <c r="G22" i="8"/>
  <c r="F22" i="8"/>
  <c r="E22" i="8"/>
  <c r="D22" i="8"/>
  <c r="C22" i="8"/>
  <c r="J19" i="8"/>
  <c r="I19" i="8"/>
  <c r="H19" i="8"/>
  <c r="G19" i="8"/>
  <c r="F19" i="8"/>
  <c r="E19" i="8"/>
  <c r="D19" i="8"/>
  <c r="C19" i="8"/>
  <c r="J16" i="8"/>
  <c r="I16" i="8"/>
  <c r="H16" i="8"/>
  <c r="G16" i="8"/>
  <c r="F16" i="8"/>
  <c r="E16" i="8"/>
  <c r="D16" i="8"/>
  <c r="C16" i="8"/>
  <c r="J13" i="8"/>
  <c r="I13" i="8"/>
  <c r="H13" i="8"/>
  <c r="G13" i="8"/>
  <c r="F13" i="8"/>
  <c r="E13" i="8"/>
  <c r="D13" i="8"/>
  <c r="C13" i="8"/>
  <c r="J10" i="8"/>
  <c r="I10" i="8"/>
  <c r="H10" i="8"/>
  <c r="G10" i="8"/>
  <c r="F10" i="8"/>
  <c r="E10" i="8"/>
  <c r="D10" i="8"/>
  <c r="C10" i="8"/>
  <c r="J7" i="8"/>
  <c r="I7" i="8"/>
  <c r="H7" i="8"/>
  <c r="G7" i="8"/>
  <c r="F7" i="8"/>
  <c r="E7" i="8"/>
  <c r="D7" i="8"/>
  <c r="C7" i="8"/>
  <c r="J4" i="8"/>
  <c r="I4" i="8"/>
  <c r="H4" i="8"/>
  <c r="G4" i="8"/>
  <c r="F4" i="8"/>
  <c r="E4" i="8"/>
  <c r="D4" i="8"/>
  <c r="C4" i="8"/>
  <c r="J45" i="8"/>
  <c r="I45" i="8"/>
  <c r="H45" i="8"/>
  <c r="G45" i="8"/>
  <c r="F45" i="8"/>
  <c r="E45" i="8"/>
  <c r="D45" i="8"/>
  <c r="C45" i="8"/>
  <c r="J42" i="8"/>
  <c r="I42" i="8"/>
  <c r="H42" i="8"/>
  <c r="G42" i="8"/>
  <c r="F42" i="8"/>
  <c r="E42" i="8"/>
  <c r="D42" i="8"/>
  <c r="C42" i="8"/>
  <c r="J39" i="8"/>
  <c r="I39" i="8"/>
  <c r="H39" i="8"/>
  <c r="G39" i="8"/>
  <c r="F39" i="8"/>
  <c r="E39" i="8"/>
  <c r="D39" i="8"/>
  <c r="C39" i="8"/>
  <c r="J36" i="8"/>
  <c r="I36" i="8"/>
  <c r="H36" i="8"/>
  <c r="G36" i="8"/>
  <c r="F36" i="8"/>
  <c r="E36" i="8"/>
  <c r="D36" i="8"/>
  <c r="C36" i="8"/>
  <c r="J33" i="8"/>
  <c r="I33" i="8"/>
  <c r="H33" i="8"/>
  <c r="G33" i="8"/>
  <c r="F33" i="8"/>
  <c r="E33" i="8"/>
  <c r="D33" i="8"/>
  <c r="C33" i="8"/>
  <c r="J30" i="8"/>
  <c r="I30" i="8"/>
  <c r="H30" i="8"/>
  <c r="G30" i="8"/>
  <c r="F30" i="8"/>
  <c r="E30" i="8"/>
  <c r="D30" i="8"/>
  <c r="C30" i="8"/>
  <c r="J27" i="8"/>
  <c r="I27" i="8"/>
  <c r="H27" i="8"/>
  <c r="G27" i="8"/>
  <c r="F27" i="8"/>
  <c r="E27" i="8"/>
  <c r="D27" i="8"/>
  <c r="C27" i="8"/>
  <c r="J24" i="8"/>
  <c r="I24" i="8"/>
  <c r="H24" i="8"/>
  <c r="G24" i="8"/>
  <c r="F24" i="8"/>
  <c r="E24" i="8"/>
  <c r="D24" i="8"/>
  <c r="C24" i="8"/>
  <c r="J21" i="8"/>
  <c r="I21" i="8"/>
  <c r="H21" i="8"/>
  <c r="G21" i="8"/>
  <c r="F21" i="8"/>
  <c r="E21" i="8"/>
  <c r="D21" i="8"/>
  <c r="C21" i="8"/>
  <c r="J18" i="8"/>
  <c r="I18" i="8"/>
  <c r="H18" i="8"/>
  <c r="G18" i="8"/>
  <c r="F18" i="8"/>
  <c r="E18" i="8"/>
  <c r="D18" i="8"/>
  <c r="C18" i="8"/>
  <c r="J15" i="8"/>
  <c r="I15" i="8"/>
  <c r="H15" i="8"/>
  <c r="G15" i="8"/>
  <c r="F15" i="8"/>
  <c r="E15" i="8"/>
  <c r="D15" i="8"/>
  <c r="C15" i="8"/>
  <c r="J12" i="8"/>
  <c r="I12" i="8"/>
  <c r="H12" i="8"/>
  <c r="G12" i="8"/>
  <c r="F12" i="8"/>
  <c r="E12" i="8"/>
  <c r="D12" i="8"/>
  <c r="C12" i="8"/>
  <c r="J9" i="8"/>
  <c r="I9" i="8"/>
  <c r="H9" i="8"/>
  <c r="G9" i="8"/>
  <c r="F9" i="8"/>
  <c r="E9" i="8"/>
  <c r="D9" i="8"/>
  <c r="C9" i="8"/>
  <c r="J6" i="8"/>
  <c r="I6" i="8"/>
  <c r="H6" i="8"/>
  <c r="G6" i="8"/>
  <c r="F6" i="8"/>
  <c r="E6" i="8"/>
  <c r="D6" i="8"/>
  <c r="C6" i="8"/>
  <c r="J3" i="8"/>
  <c r="I3" i="8"/>
  <c r="H3" i="8"/>
  <c r="G3" i="8"/>
  <c r="F3" i="8"/>
  <c r="E3" i="8"/>
  <c r="D3" i="8"/>
  <c r="C3" i="8"/>
  <c r="J44" i="8"/>
  <c r="I44" i="8"/>
  <c r="H44" i="8"/>
  <c r="G44" i="8"/>
  <c r="F44" i="8"/>
  <c r="E44" i="8"/>
  <c r="D44" i="8"/>
  <c r="C44" i="8"/>
  <c r="J41" i="8"/>
  <c r="I41" i="8"/>
  <c r="H41" i="8"/>
  <c r="G41" i="8"/>
  <c r="F41" i="8"/>
  <c r="E41" i="8"/>
  <c r="D41" i="8"/>
  <c r="C41" i="8"/>
  <c r="J38" i="8"/>
  <c r="I38" i="8"/>
  <c r="H38" i="8"/>
  <c r="G38" i="8"/>
  <c r="F38" i="8"/>
  <c r="E38" i="8"/>
  <c r="D38" i="8"/>
  <c r="C38" i="8"/>
  <c r="J35" i="8"/>
  <c r="I35" i="8"/>
  <c r="H35" i="8"/>
  <c r="G35" i="8"/>
  <c r="F35" i="8"/>
  <c r="E35" i="8"/>
  <c r="D35" i="8"/>
  <c r="C35" i="8"/>
  <c r="J32" i="8"/>
  <c r="I32" i="8"/>
  <c r="H32" i="8"/>
  <c r="G32" i="8"/>
  <c r="F32" i="8"/>
  <c r="E32" i="8"/>
  <c r="D32" i="8"/>
  <c r="C32" i="8"/>
  <c r="J29" i="8"/>
  <c r="I29" i="8"/>
  <c r="H29" i="8"/>
  <c r="G29" i="8"/>
  <c r="F29" i="8"/>
  <c r="E29" i="8"/>
  <c r="D29" i="8"/>
  <c r="C29" i="8"/>
  <c r="J26" i="8"/>
  <c r="I26" i="8"/>
  <c r="H26" i="8"/>
  <c r="G26" i="8"/>
  <c r="F26" i="8"/>
  <c r="E26" i="8"/>
  <c r="D26" i="8"/>
  <c r="C26" i="8"/>
  <c r="J23" i="8"/>
  <c r="I23" i="8"/>
  <c r="H23" i="8"/>
  <c r="G23" i="8"/>
  <c r="F23" i="8"/>
  <c r="E23" i="8"/>
  <c r="D23" i="8"/>
  <c r="C23" i="8"/>
  <c r="J20" i="8"/>
  <c r="I20" i="8"/>
  <c r="H20" i="8"/>
  <c r="G20" i="8"/>
  <c r="F20" i="8"/>
  <c r="E20" i="8"/>
  <c r="D20" i="8"/>
  <c r="C20" i="8"/>
  <c r="J17" i="8"/>
  <c r="I17" i="8"/>
  <c r="H17" i="8"/>
  <c r="G17" i="8"/>
  <c r="F17" i="8"/>
  <c r="E17" i="8"/>
  <c r="D17" i="8"/>
  <c r="C17" i="8"/>
  <c r="J14" i="8"/>
  <c r="I14" i="8"/>
  <c r="H14" i="8"/>
  <c r="G14" i="8"/>
  <c r="F14" i="8"/>
  <c r="E14" i="8"/>
  <c r="D14" i="8"/>
  <c r="C14" i="8"/>
  <c r="J11" i="8"/>
  <c r="I11" i="8"/>
  <c r="H11" i="8"/>
  <c r="G11" i="8"/>
  <c r="F11" i="8"/>
  <c r="E11" i="8"/>
  <c r="D11" i="8"/>
  <c r="C11" i="8"/>
  <c r="J8" i="8"/>
  <c r="I8" i="8"/>
  <c r="H8" i="8"/>
  <c r="G8" i="8"/>
  <c r="F8" i="8"/>
  <c r="E8" i="8"/>
  <c r="D8" i="8"/>
  <c r="C8" i="8"/>
  <c r="J5" i="8"/>
  <c r="I5" i="8"/>
  <c r="H5" i="8"/>
  <c r="G5" i="8"/>
  <c r="F5" i="8"/>
  <c r="E5" i="8"/>
  <c r="D5" i="8"/>
  <c r="C5" i="8"/>
  <c r="J2" i="8"/>
  <c r="I2" i="8"/>
  <c r="H2" i="8"/>
  <c r="G2" i="8"/>
  <c r="F2" i="8"/>
  <c r="E2" i="8"/>
  <c r="D2" i="8"/>
  <c r="C2" i="8"/>
  <c r="C74" i="8" l="1"/>
  <c r="S6" i="7"/>
  <c r="S5" i="7"/>
  <c r="S4" i="7"/>
  <c r="R6" i="7"/>
  <c r="R5" i="7"/>
  <c r="R4" i="7"/>
  <c r="C7" i="4"/>
  <c r="C5" i="4"/>
  <c r="D1573" i="17"/>
  <c r="D1570" i="17"/>
  <c r="D1568" i="17"/>
  <c r="D1566" i="17"/>
  <c r="D1563" i="17"/>
  <c r="D1551" i="17"/>
  <c r="D1550" i="17"/>
  <c r="D1549" i="17"/>
  <c r="D1547" i="17"/>
  <c r="D1541" i="17"/>
  <c r="D1540" i="17"/>
  <c r="D1539" i="17"/>
  <c r="D1538" i="17"/>
  <c r="D389" i="17"/>
  <c r="D1537" i="17"/>
  <c r="D460" i="17"/>
  <c r="D415" i="17"/>
  <c r="D1536" i="17"/>
  <c r="D1535" i="17"/>
  <c r="D868" i="17"/>
  <c r="D1534" i="17"/>
  <c r="D1533" i="17"/>
  <c r="D1532" i="17"/>
  <c r="D647" i="17"/>
  <c r="D1531" i="17"/>
  <c r="D1486" i="17"/>
  <c r="D1530" i="17"/>
  <c r="D1517" i="17"/>
  <c r="D586" i="17"/>
  <c r="D1519" i="17"/>
  <c r="D1518" i="17"/>
  <c r="D1516" i="17"/>
  <c r="D1515" i="17"/>
  <c r="D1512" i="17"/>
  <c r="D1510" i="17"/>
  <c r="D1514" i="17"/>
  <c r="D1513" i="17"/>
  <c r="D1511" i="17"/>
  <c r="D1502" i="17"/>
  <c r="D1507" i="17"/>
  <c r="D1508" i="17"/>
  <c r="D1504" i="17"/>
  <c r="D1505" i="17"/>
  <c r="D1506" i="17"/>
  <c r="D1527" i="17"/>
  <c r="D1509" i="17"/>
  <c r="D1503" i="17"/>
  <c r="D1500" i="17"/>
  <c r="D1497" i="17"/>
  <c r="D1496" i="17"/>
  <c r="D1501" i="17"/>
  <c r="D1499" i="17"/>
  <c r="D1498" i="17"/>
  <c r="D1491" i="17"/>
  <c r="D1492" i="17"/>
  <c r="D1456" i="17"/>
  <c r="D1490" i="17"/>
  <c r="D1487" i="17"/>
  <c r="D1488" i="17"/>
  <c r="D1484" i="17"/>
  <c r="D1494" i="17"/>
  <c r="D1441" i="17"/>
  <c r="D1476" i="17"/>
  <c r="D1440" i="17"/>
  <c r="D1435" i="17"/>
  <c r="D1482" i="17"/>
  <c r="D1479" i="17"/>
  <c r="D1475" i="17"/>
  <c r="D1481" i="17"/>
  <c r="D1489" i="17"/>
  <c r="D1477" i="17"/>
  <c r="D1478" i="17"/>
  <c r="D1485" i="17"/>
  <c r="D1414" i="17"/>
  <c r="D1472" i="17"/>
  <c r="D1473" i="17"/>
  <c r="D1471" i="17"/>
  <c r="D1464" i="17"/>
  <c r="D1470" i="17"/>
  <c r="D1468" i="17"/>
  <c r="D1483" i="17"/>
  <c r="D1389" i="17"/>
  <c r="D1467" i="17"/>
  <c r="D1460" i="17"/>
  <c r="D1458" i="17"/>
  <c r="D1462" i="17"/>
  <c r="D1433" i="17"/>
  <c r="D1474" i="17"/>
  <c r="D1493" i="17"/>
  <c r="D1454" i="17"/>
  <c r="D1463" i="17"/>
  <c r="D1457" i="17"/>
  <c r="D1419" i="17"/>
  <c r="D1450" i="17"/>
  <c r="D1466" i="17"/>
  <c r="D1469" i="17"/>
  <c r="D1439" i="17"/>
  <c r="D1418" i="17"/>
  <c r="D1427" i="17"/>
  <c r="D1455" i="17"/>
  <c r="D1448" i="17"/>
  <c r="D1413" i="17"/>
  <c r="D1415" i="17"/>
  <c r="D1434" i="17"/>
  <c r="D1453" i="17"/>
  <c r="D1459" i="17"/>
  <c r="D1417" i="17"/>
  <c r="D1423" i="17"/>
  <c r="D1407" i="17"/>
  <c r="D1446" i="17"/>
  <c r="D1421" i="17"/>
  <c r="D1431" i="17"/>
  <c r="D1422" i="17"/>
  <c r="D1438" i="17"/>
  <c r="D1444" i="17"/>
  <c r="D1432" i="17"/>
  <c r="D1429" i="17"/>
  <c r="D1451" i="17"/>
  <c r="D1401" i="17"/>
  <c r="D1445" i="17"/>
  <c r="D1428" i="17"/>
  <c r="D1425" i="17"/>
  <c r="D1392" i="17"/>
  <c r="D1449" i="17"/>
  <c r="D1442" i="17"/>
  <c r="D1426" i="17"/>
  <c r="D1424" i="17"/>
  <c r="D1405" i="17"/>
  <c r="D1412" i="17"/>
  <c r="D1404" i="17"/>
  <c r="D1447" i="17"/>
  <c r="D1403" i="17"/>
  <c r="D1411" i="17"/>
  <c r="D1408" i="17"/>
  <c r="D1388" i="17"/>
  <c r="D1343" i="17"/>
  <c r="D1409" i="17"/>
  <c r="D1420" i="17"/>
  <c r="D1437" i="17"/>
  <c r="D1385" i="17"/>
  <c r="D1376" i="17"/>
  <c r="D1406" i="17"/>
  <c r="D1249" i="17"/>
  <c r="D1254" i="17"/>
  <c r="D1359" i="17"/>
  <c r="D1402" i="17"/>
  <c r="D1395" i="17"/>
  <c r="D1399" i="17"/>
  <c r="D1398" i="17"/>
  <c r="D1390" i="17"/>
  <c r="D1387" i="17"/>
  <c r="D1373" i="17"/>
  <c r="D1410" i="17"/>
  <c r="D1397" i="17"/>
  <c r="D1396" i="17"/>
  <c r="D1393" i="17"/>
  <c r="D1386" i="17"/>
  <c r="D1357" i="17"/>
  <c r="D1391" i="17"/>
  <c r="D1377" i="17"/>
  <c r="D1416" i="17"/>
  <c r="D1443" i="17"/>
  <c r="D1400" i="17"/>
  <c r="D1366" i="17"/>
  <c r="D1311" i="17"/>
  <c r="D1369" i="17"/>
  <c r="D1247" i="17"/>
  <c r="D1381" i="17"/>
  <c r="D1309" i="17"/>
  <c r="D1328" i="17"/>
  <c r="D1370" i="17"/>
  <c r="D1394" i="17"/>
  <c r="D1361" i="17"/>
  <c r="D1374" i="17"/>
  <c r="D1352" i="17"/>
  <c r="D1362" i="17"/>
  <c r="D1380" i="17"/>
  <c r="D1257" i="17"/>
  <c r="D1354" i="17"/>
  <c r="D1383" i="17"/>
  <c r="D1379" i="17"/>
  <c r="D1360" i="17"/>
  <c r="D1333" i="17"/>
  <c r="D1331" i="17"/>
  <c r="D1335" i="17"/>
  <c r="D1339" i="17"/>
  <c r="D1378" i="17"/>
  <c r="D1365" i="17"/>
  <c r="D1321" i="17"/>
  <c r="D1363" i="17"/>
  <c r="D1351" i="17"/>
  <c r="D1137" i="17"/>
  <c r="D1219" i="17"/>
  <c r="D1223" i="17"/>
  <c r="D1345" i="17"/>
  <c r="D1358" i="17"/>
  <c r="D1348" i="17"/>
  <c r="D1346" i="17"/>
  <c r="D1350" i="17"/>
  <c r="D1304" i="17"/>
  <c r="D1237" i="17"/>
  <c r="D1283" i="17"/>
  <c r="D1337" i="17"/>
  <c r="D1364" i="17"/>
  <c r="D1276" i="17"/>
  <c r="D1334" i="17"/>
  <c r="D1356" i="17"/>
  <c r="D1340" i="17"/>
  <c r="D1353" i="17"/>
  <c r="D1371" i="17"/>
  <c r="D1341" i="17"/>
  <c r="D1332" i="17"/>
  <c r="D1325" i="17"/>
  <c r="D1322" i="17"/>
  <c r="D1344" i="17"/>
  <c r="D1292" i="17"/>
  <c r="D1093" i="17"/>
  <c r="D1349" i="17"/>
  <c r="D1279" i="17"/>
  <c r="D1087" i="17"/>
  <c r="D1301" i="17"/>
  <c r="D1336" i="17"/>
  <c r="D1330" i="17"/>
  <c r="D1375" i="17"/>
  <c r="D1327" i="17"/>
  <c r="D1305" i="17"/>
  <c r="D1286" i="17"/>
  <c r="D1280" i="17"/>
  <c r="D1316" i="17"/>
  <c r="D1288" i="17"/>
  <c r="D1284" i="17"/>
  <c r="D1302" i="17"/>
  <c r="D1282" i="17"/>
  <c r="D1315" i="17"/>
  <c r="D1229" i="17"/>
  <c r="D1329" i="17"/>
  <c r="D1295" i="17"/>
  <c r="D1299" i="17"/>
  <c r="D1289" i="17"/>
  <c r="D1287" i="17"/>
  <c r="D1245" i="17"/>
  <c r="D1368" i="17"/>
  <c r="D1306" i="17"/>
  <c r="D1318" i="17"/>
  <c r="D1285" i="17"/>
  <c r="D1278" i="17"/>
  <c r="D1338" i="17"/>
  <c r="D1317" i="17"/>
  <c r="D1252" i="17"/>
  <c r="D1259" i="17"/>
  <c r="D1291" i="17"/>
  <c r="D1236" i="17"/>
  <c r="D1319" i="17"/>
  <c r="D1211" i="17"/>
  <c r="D1293" i="17"/>
  <c r="D1233" i="17"/>
  <c r="D1324" i="17"/>
  <c r="D1265" i="17"/>
  <c r="D1303" i="17"/>
  <c r="D1248" i="17"/>
  <c r="D1297" i="17"/>
  <c r="D1281" i="17"/>
  <c r="D1262" i="17"/>
  <c r="D1323" i="17"/>
  <c r="D1300" i="17"/>
  <c r="D996" i="17"/>
  <c r="D1264" i="17"/>
  <c r="D1320" i="17"/>
  <c r="D1312" i="17"/>
  <c r="D1367" i="17"/>
  <c r="D1277" i="17"/>
  <c r="D1290" i="17"/>
  <c r="D1275" i="17"/>
  <c r="D1313" i="17"/>
  <c r="D1242" i="17"/>
  <c r="D1267" i="17"/>
  <c r="D1232" i="17"/>
  <c r="D1220" i="17"/>
  <c r="D1296" i="17"/>
  <c r="D1190" i="17"/>
  <c r="D1210" i="17"/>
  <c r="D1269" i="17"/>
  <c r="D1298" i="17"/>
  <c r="D1244" i="17"/>
  <c r="D1274" i="17"/>
  <c r="D1241" i="17"/>
  <c r="D1238" i="17"/>
  <c r="D1266" i="17"/>
  <c r="D1272" i="17"/>
  <c r="D1256" i="17"/>
  <c r="D1144" i="17"/>
  <c r="D1224" i="17"/>
  <c r="D1273" i="17"/>
  <c r="D1239" i="17"/>
  <c r="D1217" i="17"/>
  <c r="D1250" i="17"/>
  <c r="D1268" i="17"/>
  <c r="D1251" i="17"/>
  <c r="D917" i="17"/>
  <c r="D1221" i="17"/>
  <c r="D1212" i="17"/>
  <c r="D1261" i="17"/>
  <c r="D1218" i="17"/>
  <c r="D1253" i="17"/>
  <c r="D1271" i="17"/>
  <c r="D1228" i="17"/>
  <c r="D914" i="17"/>
  <c r="D1027" i="17"/>
  <c r="D1185" i="17"/>
  <c r="D1147" i="17"/>
  <c r="D1222" i="17"/>
  <c r="D1170" i="17"/>
  <c r="D1227" i="17"/>
  <c r="D1215" i="17"/>
  <c r="D897" i="17"/>
  <c r="D1230" i="17"/>
  <c r="D1124" i="17"/>
  <c r="D1231" i="17"/>
  <c r="D1202" i="17"/>
  <c r="D1209" i="17"/>
  <c r="D1169" i="17"/>
  <c r="D1246" i="17"/>
  <c r="D1235" i="17"/>
  <c r="D1175" i="17"/>
  <c r="D1240" i="17"/>
  <c r="D1203" i="17"/>
  <c r="D1189" i="17"/>
  <c r="D1166" i="17"/>
  <c r="D1148" i="17"/>
  <c r="D1258" i="17"/>
  <c r="D1201" i="17"/>
  <c r="D1182" i="17"/>
  <c r="D1195" i="17"/>
  <c r="D1180" i="17"/>
  <c r="D1176" i="17"/>
  <c r="D1154" i="17"/>
  <c r="D1200" i="17"/>
  <c r="D1160" i="17"/>
  <c r="D1161" i="17"/>
  <c r="D1226" i="17"/>
  <c r="D1183" i="17"/>
  <c r="D1159" i="17"/>
  <c r="D1139" i="17"/>
  <c r="D1191" i="17"/>
  <c r="D1174" i="17"/>
  <c r="D1122" i="17"/>
  <c r="D1307" i="17"/>
  <c r="D1193" i="17"/>
  <c r="D1192" i="17"/>
  <c r="D1157" i="17"/>
  <c r="D1091" i="17"/>
  <c r="D1142" i="17"/>
  <c r="D1314" i="17"/>
  <c r="D1167" i="17"/>
  <c r="D1097" i="17"/>
  <c r="D1234" i="17"/>
  <c r="D1107" i="17"/>
  <c r="D1184" i="17"/>
  <c r="D1198" i="17"/>
  <c r="D1145" i="17"/>
  <c r="D1100" i="17"/>
  <c r="D1129" i="17"/>
  <c r="D1173" i="17"/>
  <c r="D1194" i="17"/>
  <c r="D1134" i="17"/>
  <c r="D1214" i="17"/>
  <c r="D1151" i="17"/>
  <c r="D1156" i="17"/>
  <c r="D1076" i="17"/>
  <c r="D1069" i="17"/>
  <c r="D1138" i="17"/>
  <c r="D1140" i="17"/>
  <c r="D1056" i="17"/>
  <c r="D1153" i="17"/>
  <c r="D1066" i="17"/>
  <c r="D1162" i="17"/>
  <c r="D1089" i="17"/>
  <c r="D1131" i="17"/>
  <c r="D1225" i="17"/>
  <c r="D1172" i="17"/>
  <c r="D1207" i="17"/>
  <c r="D922" i="17"/>
  <c r="D1111" i="17"/>
  <c r="D1187" i="17"/>
  <c r="D1171" i="17"/>
  <c r="D1088" i="17"/>
  <c r="D1155" i="17"/>
  <c r="D1116" i="17"/>
  <c r="D1113" i="17"/>
  <c r="D1126" i="17"/>
  <c r="D981" i="17"/>
  <c r="D1526" i="17"/>
  <c r="D984" i="17"/>
  <c r="D1055" i="17"/>
  <c r="D1109" i="17"/>
  <c r="D1143" i="17"/>
  <c r="D1108" i="17"/>
  <c r="D1117" i="17"/>
  <c r="D963" i="17"/>
  <c r="D1146" i="17"/>
  <c r="D1105" i="17"/>
  <c r="D1086" i="17"/>
  <c r="D1119" i="17"/>
  <c r="D1102" i="17"/>
  <c r="D1128" i="17"/>
  <c r="D1130" i="17"/>
  <c r="D1072" i="17"/>
  <c r="D1099" i="17"/>
  <c r="D1197" i="17"/>
  <c r="D1178" i="17"/>
  <c r="D1103" i="17"/>
  <c r="D1052" i="17"/>
  <c r="D1040" i="17"/>
  <c r="D1035" i="17"/>
  <c r="D1179" i="17"/>
  <c r="D1079" i="17"/>
  <c r="D1083" i="17"/>
  <c r="D1101" i="17"/>
  <c r="D1082" i="17"/>
  <c r="D1136" i="17"/>
  <c r="D1132" i="17"/>
  <c r="D1043" i="17"/>
  <c r="D1074" i="17"/>
  <c r="D1063" i="17"/>
  <c r="D1098" i="17"/>
  <c r="D1051" i="17"/>
  <c r="D1070" i="17"/>
  <c r="D1078" i="17"/>
  <c r="D1158" i="17"/>
  <c r="D1104" i="17"/>
  <c r="D1073" i="17"/>
  <c r="D1133" i="17"/>
  <c r="D1090" i="17"/>
  <c r="D1075" i="17"/>
  <c r="D1028" i="17"/>
  <c r="D838" i="17"/>
  <c r="D1041" i="17"/>
  <c r="D1115" i="17"/>
  <c r="D1206" i="17"/>
  <c r="D987" i="17"/>
  <c r="D741" i="17"/>
  <c r="D1065" i="17"/>
  <c r="D1085" i="17"/>
  <c r="D1127" i="17"/>
  <c r="D1010" i="17"/>
  <c r="D1034" i="17"/>
  <c r="D1058" i="17"/>
  <c r="D1064" i="17"/>
  <c r="D951" i="17"/>
  <c r="D1094" i="17"/>
  <c r="D1047" i="17"/>
  <c r="D1046" i="17"/>
  <c r="D1054" i="17"/>
  <c r="D629" i="17"/>
  <c r="D1042" i="17"/>
  <c r="D979" i="17"/>
  <c r="D1017" i="17"/>
  <c r="D1057" i="17"/>
  <c r="D807" i="17"/>
  <c r="D702" i="17"/>
  <c r="D936" i="17"/>
  <c r="D1050" i="17"/>
  <c r="D1033" i="17"/>
  <c r="D1032" i="17"/>
  <c r="D1114" i="17"/>
  <c r="D974" i="17"/>
  <c r="D1022" i="17"/>
  <c r="D1121" i="17"/>
  <c r="D970" i="17"/>
  <c r="D1019" i="17"/>
  <c r="D1048" i="17"/>
  <c r="D998" i="17"/>
  <c r="D1004" i="17"/>
  <c r="D976" i="17"/>
  <c r="D1021" i="17"/>
  <c r="D1000" i="17"/>
  <c r="D823" i="17"/>
  <c r="D1049" i="17"/>
  <c r="D983" i="17"/>
  <c r="D959" i="17"/>
  <c r="D1038" i="17"/>
  <c r="D1020" i="17"/>
  <c r="D1081" i="17"/>
  <c r="D1106" i="17"/>
  <c r="D1012" i="17"/>
  <c r="D579" i="17"/>
  <c r="D1015" i="17"/>
  <c r="D980" i="17"/>
  <c r="D1031" i="17"/>
  <c r="D950" i="17"/>
  <c r="D938" i="17"/>
  <c r="D1071" i="17"/>
  <c r="D574" i="17"/>
  <c r="D1014" i="17"/>
  <c r="D910" i="17"/>
  <c r="D949" i="17"/>
  <c r="D995" i="17"/>
  <c r="D1039" i="17"/>
  <c r="D992" i="17"/>
  <c r="D955" i="17"/>
  <c r="D978" i="17"/>
  <c r="D965" i="17"/>
  <c r="D985" i="17"/>
  <c r="D1062" i="17"/>
  <c r="D564" i="17"/>
  <c r="D890" i="17"/>
  <c r="D946" i="17"/>
  <c r="D972" i="17"/>
  <c r="D918" i="17"/>
  <c r="D947" i="17"/>
  <c r="D939" i="17"/>
  <c r="D1005" i="17"/>
  <c r="D913" i="17"/>
  <c r="D993" i="17"/>
  <c r="D941" i="17"/>
  <c r="D1059" i="17"/>
  <c r="D902" i="17"/>
  <c r="D967" i="17"/>
  <c r="D973" i="17"/>
  <c r="D1001" i="17"/>
  <c r="D1037" i="17"/>
  <c r="D962" i="17"/>
  <c r="D968" i="17"/>
  <c r="D954" i="17"/>
  <c r="D847" i="17"/>
  <c r="D1024" i="17"/>
  <c r="D997" i="17"/>
  <c r="D964" i="17"/>
  <c r="D830" i="17"/>
  <c r="D961" i="17"/>
  <c r="D994" i="17"/>
  <c r="D1036" i="17"/>
  <c r="D958" i="17"/>
  <c r="D982" i="17"/>
  <c r="D952" i="17"/>
  <c r="D990" i="17"/>
  <c r="D1080" i="17"/>
  <c r="D1008" i="17"/>
  <c r="D927" i="17"/>
  <c r="D924" i="17"/>
  <c r="D1095" i="17"/>
  <c r="D991" i="17"/>
  <c r="D1025" i="17"/>
  <c r="D1525" i="17"/>
  <c r="D916" i="17"/>
  <c r="D855" i="17"/>
  <c r="D931" i="17"/>
  <c r="D901" i="17"/>
  <c r="D1018" i="17"/>
  <c r="D856" i="17"/>
  <c r="D966" i="17"/>
  <c r="D900" i="17"/>
  <c r="D836" i="17"/>
  <c r="D932" i="17"/>
  <c r="D933" i="17"/>
  <c r="D953" i="17"/>
  <c r="D896" i="17"/>
  <c r="D689" i="17"/>
  <c r="D923" i="17"/>
  <c r="D749" i="17"/>
  <c r="D915" i="17"/>
  <c r="D975" i="17"/>
  <c r="D937" i="17"/>
  <c r="D1013" i="17"/>
  <c r="D956" i="17"/>
  <c r="D928" i="17"/>
  <c r="D606" i="17"/>
  <c r="D944" i="17"/>
  <c r="D908" i="17"/>
  <c r="D841" i="17"/>
  <c r="D930" i="17"/>
  <c r="D1061" i="17"/>
  <c r="D472" i="17"/>
  <c r="D739" i="17"/>
  <c r="D1016" i="17"/>
  <c r="D907" i="17"/>
  <c r="D943" i="17"/>
  <c r="D812" i="17"/>
  <c r="D912" i="17"/>
  <c r="D988" i="17"/>
  <c r="D919" i="17"/>
  <c r="D1112" i="17"/>
  <c r="D935" i="17"/>
  <c r="D879" i="17"/>
  <c r="D798" i="17"/>
  <c r="D888" i="17"/>
  <c r="D842" i="17"/>
  <c r="D883" i="17"/>
  <c r="D760" i="17"/>
  <c r="D448" i="17"/>
  <c r="D837" i="17"/>
  <c r="D867" i="17"/>
  <c r="D707" i="17"/>
  <c r="D869" i="17"/>
  <c r="D582" i="17"/>
  <c r="D545" i="17"/>
  <c r="D755" i="17"/>
  <c r="D860" i="17"/>
  <c r="D882" i="17"/>
  <c r="D899" i="17"/>
  <c r="D861" i="17"/>
  <c r="D845" i="17"/>
  <c r="D528" i="17"/>
  <c r="D926" i="17"/>
  <c r="D623" i="17"/>
  <c r="D730" i="17"/>
  <c r="D876" i="17"/>
  <c r="D875" i="17"/>
  <c r="D873" i="17"/>
  <c r="D844" i="17"/>
  <c r="D863" i="17"/>
  <c r="D886" i="17"/>
  <c r="D757" i="17"/>
  <c r="D904" i="17"/>
  <c r="D853" i="17"/>
  <c r="D852" i="17"/>
  <c r="D824" i="17"/>
  <c r="D829" i="17"/>
  <c r="D822" i="17"/>
  <c r="D793" i="17"/>
  <c r="D887" i="17"/>
  <c r="D858" i="17"/>
  <c r="D764" i="17"/>
  <c r="D884" i="17"/>
  <c r="D859" i="17"/>
  <c r="D878" i="17"/>
  <c r="D857" i="17"/>
  <c r="D839" i="17"/>
  <c r="D818" i="17"/>
  <c r="D788" i="17"/>
  <c r="D686" i="17"/>
  <c r="D820" i="17"/>
  <c r="D800" i="17"/>
  <c r="D614" i="17"/>
  <c r="D646" i="17"/>
  <c r="D815" i="17"/>
  <c r="D774" i="17"/>
  <c r="D871" i="17"/>
  <c r="D622" i="17"/>
  <c r="D1003" i="17"/>
  <c r="D775" i="17"/>
  <c r="D715" i="17"/>
  <c r="D758" i="17"/>
  <c r="D794" i="17"/>
  <c r="D848" i="17"/>
  <c r="D655" i="17"/>
  <c r="D729" i="17"/>
  <c r="D777" i="17"/>
  <c r="D880" i="17"/>
  <c r="D786" i="17"/>
  <c r="D874" i="17"/>
  <c r="D805" i="17"/>
  <c r="D781" i="17"/>
  <c r="D834" i="17"/>
  <c r="D771" i="17"/>
  <c r="D782" i="17"/>
  <c r="D732" i="17"/>
  <c r="D735" i="17"/>
  <c r="D779" i="17"/>
  <c r="D765" i="17"/>
  <c r="D668" i="17"/>
  <c r="D911" i="17"/>
  <c r="D891" i="17"/>
  <c r="D761" i="17"/>
  <c r="D801" i="17"/>
  <c r="D833" i="17"/>
  <c r="D831" i="17"/>
  <c r="D865" i="17"/>
  <c r="D720" i="17"/>
  <c r="D744" i="17"/>
  <c r="D783" i="17"/>
  <c r="D770" i="17"/>
  <c r="D736" i="17"/>
  <c r="D803" i="17"/>
  <c r="D802" i="17"/>
  <c r="D840" i="17"/>
  <c r="D785" i="17"/>
  <c r="D748" i="17"/>
  <c r="D769" i="17"/>
  <c r="D797" i="17"/>
  <c r="D616" i="17"/>
  <c r="D581" i="17"/>
  <c r="D665" i="17"/>
  <c r="D806" i="17"/>
  <c r="D728" i="17"/>
  <c r="D809" i="17"/>
  <c r="D727" i="17"/>
  <c r="D713" i="17"/>
  <c r="D752" i="17"/>
  <c r="D826" i="17"/>
  <c r="D763" i="17"/>
  <c r="D827" i="17"/>
  <c r="D817" i="17"/>
  <c r="D747" i="17"/>
  <c r="D1053" i="17"/>
  <c r="D726" i="17"/>
  <c r="D721" i="17"/>
  <c r="D692" i="17"/>
  <c r="D577" i="17"/>
  <c r="D683" i="17"/>
  <c r="D467" i="17"/>
  <c r="D687" i="17"/>
  <c r="D780" i="17"/>
  <c r="D661" i="17"/>
  <c r="D701" i="17"/>
  <c r="D722" i="17"/>
  <c r="D756" i="17"/>
  <c r="D673" i="17"/>
  <c r="D776" i="17"/>
  <c r="D737" i="17"/>
  <c r="D703" i="17"/>
  <c r="D617" i="17"/>
  <c r="D671" i="17"/>
  <c r="D738" i="17"/>
  <c r="D652" i="17"/>
  <c r="D804" i="17"/>
  <c r="D740" i="17"/>
  <c r="D710" i="17"/>
  <c r="D791" i="17"/>
  <c r="D682" i="17"/>
  <c r="D685" i="17"/>
  <c r="D718" i="17"/>
  <c r="D700" i="17"/>
  <c r="D725" i="17"/>
  <c r="D315" i="17"/>
  <c r="D600" i="17"/>
  <c r="D690" i="17"/>
  <c r="D813" i="17"/>
  <c r="D557" i="17"/>
  <c r="D691" i="17"/>
  <c r="D790" i="17"/>
  <c r="D676" i="17"/>
  <c r="D664" i="17"/>
  <c r="D626" i="17"/>
  <c r="D684" i="17"/>
  <c r="D659" i="17"/>
  <c r="D644" i="17"/>
  <c r="D648" i="17"/>
  <c r="D675" i="17"/>
  <c r="D674" i="17"/>
  <c r="D672" i="17"/>
  <c r="D877" i="17"/>
  <c r="D670" i="17"/>
  <c r="D631" i="17"/>
  <c r="D706" i="17"/>
  <c r="D599" i="17"/>
  <c r="D438" i="17"/>
  <c r="D481" i="17"/>
  <c r="D678" i="17"/>
  <c r="D639" i="17"/>
  <c r="D635" i="17"/>
  <c r="D638" i="17"/>
  <c r="D679" i="17"/>
  <c r="D677" i="17"/>
  <c r="D539" i="17"/>
  <c r="D667" i="17"/>
  <c r="D653" i="17"/>
  <c r="D773" i="17"/>
  <c r="D468" i="17"/>
  <c r="D754" i="17"/>
  <c r="D651" i="17"/>
  <c r="D650" i="17"/>
  <c r="D621" i="17"/>
  <c r="D662" i="17"/>
  <c r="D558" i="17"/>
  <c r="D745" i="17"/>
  <c r="D660" i="17"/>
  <c r="D641" i="17"/>
  <c r="D628" i="17"/>
  <c r="D768" i="17"/>
  <c r="D552" i="17"/>
  <c r="D669" i="17"/>
  <c r="D630" i="17"/>
  <c r="D611" i="17"/>
  <c r="D634" i="17"/>
  <c r="D663" i="17"/>
  <c r="D633" i="17"/>
  <c r="D355" i="17"/>
  <c r="D531" i="17"/>
  <c r="D811" i="17"/>
  <c r="D625" i="17"/>
  <c r="D624" i="17"/>
  <c r="D598" i="17"/>
  <c r="D750" i="17"/>
  <c r="D605" i="17"/>
  <c r="D697" i="17"/>
  <c r="D578" i="17"/>
  <c r="D719" i="17"/>
  <c r="D587" i="17"/>
  <c r="D527" i="17"/>
  <c r="D636" i="17"/>
  <c r="D593" i="17"/>
  <c r="D288" i="17"/>
  <c r="D604" i="17"/>
  <c r="D580" i="17"/>
  <c r="D654" i="17"/>
  <c r="D618" i="17"/>
  <c r="D509" i="17"/>
  <c r="D594" i="17"/>
  <c r="D559" i="17"/>
  <c r="D608" i="17"/>
  <c r="D602" i="17"/>
  <c r="D612" i="17"/>
  <c r="D511" i="17"/>
  <c r="D536" i="17"/>
  <c r="D585" i="17"/>
  <c r="D489" i="17"/>
  <c r="D637" i="17"/>
  <c r="D615" i="17"/>
  <c r="D603" i="17"/>
  <c r="D490" i="17"/>
  <c r="D591" i="17"/>
  <c r="D537" i="17"/>
  <c r="D571" i="17"/>
  <c r="D407" i="17"/>
  <c r="D520" i="17"/>
  <c r="D524" i="17"/>
  <c r="D498" i="17"/>
  <c r="D474" i="17"/>
  <c r="D717" i="17"/>
  <c r="D572" i="17"/>
  <c r="D584" i="17"/>
  <c r="D452" i="17"/>
  <c r="D575" i="17"/>
  <c r="D550" i="17"/>
  <c r="D548" i="17"/>
  <c r="D881" i="17"/>
  <c r="D573" i="17"/>
  <c r="D451" i="17"/>
  <c r="D526" i="17"/>
  <c r="D551" i="17"/>
  <c r="D533" i="17"/>
  <c r="D519" i="17"/>
  <c r="D530" i="17"/>
  <c r="D546" i="17"/>
  <c r="D529" i="17"/>
  <c r="D518" i="17"/>
  <c r="D597" i="17"/>
  <c r="D513" i="17"/>
  <c r="D516" i="17"/>
  <c r="D515" i="17"/>
  <c r="D492" i="17"/>
  <c r="D219" i="17"/>
  <c r="D534" i="17"/>
  <c r="D493" i="17"/>
  <c r="D553" i="17"/>
  <c r="D525" i="17"/>
  <c r="D570" i="17"/>
  <c r="D1524" i="17"/>
  <c r="D478" i="17"/>
  <c r="D265" i="17"/>
  <c r="D620" i="17"/>
  <c r="D549" i="17"/>
  <c r="D494" i="17"/>
  <c r="D458" i="17"/>
  <c r="D299" i="17"/>
  <c r="D538" i="17"/>
  <c r="D495" i="17"/>
  <c r="D484" i="17"/>
  <c r="D470" i="17"/>
  <c r="D499" i="17"/>
  <c r="D406" i="17"/>
  <c r="D476" i="17"/>
  <c r="D554" i="17"/>
  <c r="D506" i="17"/>
  <c r="D510" i="17"/>
  <c r="D462" i="17"/>
  <c r="D497" i="17"/>
  <c r="D487" i="17"/>
  <c r="D455" i="17"/>
  <c r="D544" i="17"/>
  <c r="D565" i="17"/>
  <c r="D332" i="17"/>
  <c r="D522" i="17"/>
  <c r="D569" i="17"/>
  <c r="D514" i="17"/>
  <c r="D447" i="17"/>
  <c r="D609" i="17"/>
  <c r="D461" i="17"/>
  <c r="D339" i="17"/>
  <c r="D507" i="17"/>
  <c r="D482" i="17"/>
  <c r="D399" i="17"/>
  <c r="D449" i="17"/>
  <c r="D503" i="17"/>
  <c r="D289" i="17"/>
  <c r="D535" i="17"/>
  <c r="D695" i="17"/>
  <c r="D485" i="17"/>
  <c r="D542" i="17"/>
  <c r="D454" i="17"/>
  <c r="D471" i="17"/>
  <c r="D543" i="17"/>
  <c r="D540" i="17"/>
  <c r="D477" i="17"/>
  <c r="D486" i="17"/>
  <c r="D425" i="17"/>
  <c r="D429" i="17"/>
  <c r="D314" i="17"/>
  <c r="D424" i="17"/>
  <c r="D464" i="17"/>
  <c r="D353" i="17"/>
  <c r="D502" i="17"/>
  <c r="D422" i="17"/>
  <c r="D346" i="17"/>
  <c r="D465" i="17"/>
  <c r="D505" i="17"/>
  <c r="D453" i="17"/>
  <c r="D374" i="17"/>
  <c r="D450" i="17"/>
  <c r="D436" i="17"/>
  <c r="D433" i="17"/>
  <c r="D431" i="17"/>
  <c r="D442" i="17"/>
  <c r="D419" i="17"/>
  <c r="D439" i="17"/>
  <c r="D426" i="17"/>
  <c r="D475" i="17"/>
  <c r="D417" i="17"/>
  <c r="D532" i="17"/>
  <c r="D430" i="17"/>
  <c r="D396" i="17"/>
  <c r="D414" i="17"/>
  <c r="D400" i="17"/>
  <c r="D402" i="17"/>
  <c r="D469" i="17"/>
  <c r="D463" i="17"/>
  <c r="D379" i="17"/>
  <c r="D329" i="17"/>
  <c r="D456" i="17"/>
  <c r="D380" i="17"/>
  <c r="D409" i="17"/>
  <c r="D408" i="17"/>
  <c r="D354" i="17"/>
  <c r="D444" i="17"/>
  <c r="D401" i="17"/>
  <c r="D384" i="17"/>
  <c r="D434" i="17"/>
  <c r="D437" i="17"/>
  <c r="D416" i="17"/>
  <c r="D435" i="17"/>
  <c r="D432" i="17"/>
  <c r="D162" i="17"/>
  <c r="D457" i="17"/>
  <c r="D363" i="17"/>
  <c r="D418" i="17"/>
  <c r="D446" i="17"/>
  <c r="D284" i="17"/>
  <c r="D388" i="17"/>
  <c r="D378" i="17"/>
  <c r="D357" i="17"/>
  <c r="D319" i="17"/>
  <c r="D335" i="17"/>
  <c r="D390" i="17"/>
  <c r="D352" i="17"/>
  <c r="D377" i="17"/>
  <c r="D320" i="17"/>
  <c r="D307" i="17"/>
  <c r="D264" i="17"/>
  <c r="D333" i="17"/>
  <c r="D360" i="17"/>
  <c r="D428" i="17"/>
  <c r="D362" i="17"/>
  <c r="D328" i="17"/>
  <c r="D393" i="17"/>
  <c r="D358" i="17"/>
  <c r="D309" i="17"/>
  <c r="D205" i="17"/>
  <c r="D370" i="17"/>
  <c r="D351" i="17"/>
  <c r="D385" i="17"/>
  <c r="D297" i="17"/>
  <c r="D398" i="17"/>
  <c r="D327" i="17"/>
  <c r="D301" i="17"/>
  <c r="D338" i="17"/>
  <c r="D386" i="17"/>
  <c r="D404" i="17"/>
  <c r="D308" i="17"/>
  <c r="D334" i="17"/>
  <c r="D376" i="17"/>
  <c r="D290" i="17"/>
  <c r="D300" i="17"/>
  <c r="D337" i="17"/>
  <c r="D321" i="17"/>
  <c r="D324" i="17"/>
  <c r="D318" i="17"/>
  <c r="D325" i="17"/>
  <c r="D316" i="17"/>
  <c r="D312" i="17"/>
  <c r="D257" i="17"/>
  <c r="D310" i="17"/>
  <c r="D295" i="17"/>
  <c r="D298" i="17"/>
  <c r="D294" i="17"/>
  <c r="D381" i="17"/>
  <c r="D293" i="17"/>
  <c r="D273" i="17"/>
  <c r="D323" i="17"/>
  <c r="D348" i="17"/>
  <c r="D359" i="17"/>
  <c r="D1522" i="17"/>
  <c r="D210" i="17"/>
  <c r="D274" i="17"/>
  <c r="D282" i="17"/>
  <c r="D249" i="17"/>
  <c r="D262" i="17"/>
  <c r="D336" i="17"/>
  <c r="D361" i="17"/>
  <c r="D372" i="17"/>
  <c r="D343" i="17"/>
  <c r="D387" i="17"/>
  <c r="D275" i="17"/>
  <c r="D255" i="17"/>
  <c r="D340" i="17"/>
  <c r="D258" i="17"/>
  <c r="D260" i="17"/>
  <c r="D270" i="17"/>
  <c r="D317" i="17"/>
  <c r="D115" i="17"/>
  <c r="D302" i="17"/>
  <c r="D279" i="17"/>
  <c r="D1521" i="17"/>
  <c r="D261" i="17"/>
  <c r="D247" i="17"/>
  <c r="D238" i="17"/>
  <c r="D252" i="17"/>
  <c r="D276" i="17"/>
  <c r="D403" i="17"/>
  <c r="D342" i="17"/>
  <c r="D278" i="17"/>
  <c r="D196" i="17"/>
  <c r="D211" i="17"/>
  <c r="D1520" i="17"/>
  <c r="D248" i="17"/>
  <c r="D259" i="17"/>
  <c r="D254" i="17"/>
  <c r="D250" i="17"/>
  <c r="D330" i="17"/>
  <c r="D269" i="17"/>
  <c r="D201" i="17"/>
  <c r="D220" i="17"/>
  <c r="D239" i="17"/>
  <c r="D223" i="17"/>
  <c r="D285" i="17"/>
  <c r="D209" i="17"/>
  <c r="D233" i="17"/>
  <c r="D117" i="17"/>
  <c r="D241" i="17"/>
  <c r="D180" i="17"/>
  <c r="D228" i="17"/>
  <c r="D217" i="17"/>
  <c r="D216" i="17"/>
  <c r="D229" i="17"/>
  <c r="D226" i="17"/>
  <c r="D213" i="17"/>
  <c r="D244" i="17"/>
  <c r="D225" i="17"/>
  <c r="D192" i="17"/>
  <c r="D179" i="17"/>
  <c r="D243" i="17"/>
  <c r="D214" i="17"/>
  <c r="D286" i="17"/>
  <c r="D235" i="17"/>
  <c r="D197" i="17"/>
  <c r="D341" i="17"/>
  <c r="D234" i="17"/>
  <c r="D292" i="17"/>
  <c r="D227" i="17"/>
  <c r="D160" i="17"/>
  <c r="D347" i="17"/>
  <c r="D224" i="17"/>
  <c r="D203" i="17"/>
  <c r="D194" i="17"/>
  <c r="D185" i="17"/>
  <c r="D171" i="17"/>
  <c r="D195" i="17"/>
  <c r="D237" i="17"/>
  <c r="D186" i="17"/>
  <c r="D167" i="17"/>
  <c r="D175" i="17"/>
  <c r="D189" i="17"/>
  <c r="D173" i="17"/>
  <c r="D172" i="17"/>
  <c r="D191" i="17"/>
  <c r="D188" i="17"/>
  <c r="D183" i="17"/>
  <c r="D176" i="17"/>
  <c r="D199" i="17"/>
  <c r="D184" i="17"/>
  <c r="D245" i="17"/>
  <c r="D392" i="17"/>
  <c r="D268" i="17"/>
  <c r="D164" i="17"/>
  <c r="D177" i="17"/>
  <c r="D74" i="17"/>
  <c r="D200" i="17"/>
  <c r="D204" i="17"/>
  <c r="D272" i="17"/>
  <c r="D168" i="17"/>
  <c r="D130" i="17"/>
  <c r="D105" i="17"/>
  <c r="D169" i="17"/>
  <c r="D159" i="17"/>
  <c r="D181" i="17"/>
  <c r="D120" i="17"/>
  <c r="D190" i="17"/>
  <c r="D154" i="17"/>
  <c r="D198" i="17"/>
  <c r="D202" i="17"/>
  <c r="D145" i="17"/>
  <c r="D155" i="17"/>
  <c r="D149" i="17"/>
  <c r="D137" i="17"/>
  <c r="D182" i="17"/>
  <c r="D144" i="17"/>
  <c r="D106" i="17"/>
  <c r="D142" i="17"/>
  <c r="D138" i="17"/>
  <c r="D129" i="17"/>
  <c r="D148" i="17"/>
  <c r="D123" i="17"/>
  <c r="D118" i="17"/>
  <c r="D146" i="17"/>
  <c r="D133" i="17"/>
  <c r="D128" i="17"/>
  <c r="D152" i="17"/>
  <c r="D150" i="17"/>
  <c r="D108" i="17"/>
  <c r="D166" i="17"/>
  <c r="D122" i="17"/>
  <c r="D134" i="17"/>
  <c r="D131" i="17"/>
  <c r="D113" i="17"/>
  <c r="D135" i="17"/>
  <c r="D114" i="17"/>
  <c r="D161" i="17"/>
  <c r="D100" i="17"/>
  <c r="D84" i="17"/>
  <c r="D109" i="17"/>
  <c r="D121" i="17"/>
  <c r="D124" i="17"/>
  <c r="D126" i="17"/>
  <c r="D97" i="17"/>
  <c r="D82" i="17"/>
  <c r="D112" i="17"/>
  <c r="D103" i="17"/>
  <c r="D140" i="17"/>
  <c r="D125" i="17"/>
  <c r="D87" i="17"/>
  <c r="D94" i="17"/>
  <c r="D132" i="17"/>
  <c r="D110" i="17"/>
  <c r="D91" i="17"/>
  <c r="D139" i="17"/>
  <c r="D156" i="17"/>
  <c r="D107" i="17"/>
  <c r="D93" i="17"/>
  <c r="D101" i="17"/>
  <c r="D83" i="17"/>
  <c r="D99" i="17"/>
  <c r="D90" i="17"/>
  <c r="D92" i="17"/>
  <c r="D95" i="17"/>
  <c r="D96" i="17"/>
  <c r="D102" i="17"/>
  <c r="D62" i="17"/>
  <c r="D111" i="17"/>
  <c r="D75" i="17"/>
  <c r="D81" i="17"/>
  <c r="D80" i="17"/>
  <c r="D78" i="17"/>
  <c r="D53" i="17"/>
  <c r="D79" i="17"/>
  <c r="D76" i="17"/>
  <c r="D89" i="17"/>
  <c r="D85" i="17"/>
  <c r="D57" i="17"/>
  <c r="D86" i="17"/>
  <c r="D69" i="17"/>
  <c r="D73" i="17"/>
  <c r="D70" i="17"/>
  <c r="D66" i="17"/>
  <c r="D68" i="17"/>
  <c r="D52" i="17"/>
  <c r="D58" i="17"/>
  <c r="D56" i="17"/>
  <c r="D38" i="17"/>
  <c r="D54" i="17"/>
  <c r="D65" i="17"/>
  <c r="D55" i="17"/>
  <c r="D67" i="17"/>
  <c r="D72" i="17"/>
  <c r="D71" i="17"/>
  <c r="D47" i="17"/>
  <c r="D51" i="17"/>
  <c r="D49" i="17"/>
  <c r="D44" i="17"/>
  <c r="D42" i="17"/>
  <c r="D31" i="17"/>
  <c r="D34" i="17"/>
  <c r="D43" i="17"/>
  <c r="D41" i="17"/>
  <c r="D37" i="17"/>
  <c r="D46" i="17"/>
  <c r="D36" i="17"/>
  <c r="D39" i="17"/>
  <c r="D32" i="17"/>
  <c r="D33" i="17"/>
  <c r="D30" i="17"/>
  <c r="D23" i="17"/>
  <c r="D26" i="17"/>
  <c r="D21" i="17"/>
  <c r="D29" i="17"/>
  <c r="D28" i="17"/>
  <c r="D22" i="17"/>
  <c r="D20" i="17"/>
  <c r="D15" i="17"/>
  <c r="D13" i="17"/>
  <c r="D18" i="17"/>
  <c r="D17" i="17"/>
  <c r="D19" i="17"/>
  <c r="D16" i="17"/>
  <c r="D14" i="17"/>
  <c r="D12" i="17"/>
  <c r="D11" i="17"/>
  <c r="D9" i="17"/>
  <c r="D8" i="17"/>
  <c r="D7" i="17"/>
  <c r="D6" i="17"/>
  <c r="D5" i="17"/>
  <c r="D4" i="17"/>
  <c r="D2" i="17"/>
  <c r="L11" i="8" l="1"/>
  <c r="T4" i="7" s="1"/>
  <c r="V4" i="7" s="1"/>
  <c r="L12" i="8"/>
  <c r="T5" i="7" s="1"/>
  <c r="V5" i="7" s="1"/>
  <c r="L13" i="8"/>
  <c r="T6" i="7" s="1"/>
  <c r="V6" i="7" s="1"/>
  <c r="J75" i="8"/>
  <c r="J76" i="8"/>
  <c r="E74" i="8"/>
  <c r="F76" i="8"/>
  <c r="F74" i="8"/>
  <c r="J74" i="8"/>
  <c r="D76" i="8"/>
  <c r="F75" i="8"/>
  <c r="E75" i="8"/>
  <c r="G74" i="8"/>
  <c r="G76" i="8"/>
  <c r="H76" i="8"/>
  <c r="I75" i="8"/>
  <c r="D75" i="8"/>
  <c r="E76" i="8"/>
  <c r="D74" i="8"/>
  <c r="H74" i="8"/>
  <c r="H75" i="8"/>
  <c r="G75" i="8"/>
  <c r="C75" i="8"/>
  <c r="C76" i="8"/>
  <c r="I76" i="8"/>
  <c r="I74" i="8"/>
  <c r="H70" i="8"/>
  <c r="G70" i="8"/>
  <c r="J72" i="8"/>
  <c r="I69" i="8"/>
  <c r="H72" i="8"/>
  <c r="G72" i="8"/>
  <c r="C72" i="8"/>
  <c r="J68" i="8"/>
  <c r="I71" i="8"/>
  <c r="F71" i="8"/>
  <c r="E68" i="8"/>
  <c r="D68" i="8"/>
  <c r="C71" i="8"/>
  <c r="J73" i="8"/>
  <c r="D73" i="8"/>
  <c r="C73" i="8"/>
  <c r="J70" i="8"/>
  <c r="I70" i="8"/>
  <c r="D70" i="8"/>
  <c r="C70" i="8"/>
  <c r="F72" i="8"/>
  <c r="E72" i="8"/>
  <c r="D72" i="8"/>
  <c r="H71" i="8"/>
  <c r="G71" i="8"/>
  <c r="H68" i="8"/>
  <c r="G68" i="8"/>
  <c r="F68" i="8"/>
  <c r="C68" i="8"/>
  <c r="I68" i="8" l="1"/>
  <c r="I72" i="8"/>
  <c r="D71" i="8"/>
  <c r="J71" i="8"/>
  <c r="H73" i="8"/>
  <c r="G69" i="8"/>
  <c r="H69" i="8"/>
  <c r="E70" i="8"/>
  <c r="G73" i="8"/>
  <c r="E73" i="8"/>
  <c r="E69" i="8"/>
  <c r="F69" i="8"/>
  <c r="E71" i="8"/>
  <c r="C69" i="8"/>
  <c r="F70" i="8"/>
  <c r="D69" i="8"/>
  <c r="J69" i="8"/>
  <c r="I73" i="8"/>
  <c r="F73" i="8"/>
  <c r="V23" i="1" l="1"/>
  <c r="B130" i="13" l="1"/>
  <c r="A130" i="13"/>
  <c r="B127" i="13"/>
  <c r="A127" i="13"/>
  <c r="B122" i="13"/>
  <c r="A122" i="13"/>
  <c r="B113" i="13"/>
  <c r="A113" i="13"/>
  <c r="B109" i="13"/>
  <c r="A109" i="13"/>
  <c r="B107" i="13"/>
  <c r="A107" i="13"/>
  <c r="B104" i="13"/>
  <c r="A104" i="13"/>
  <c r="B97" i="13"/>
  <c r="A97" i="13"/>
  <c r="B90" i="13"/>
  <c r="A90" i="13"/>
  <c r="B79" i="13"/>
  <c r="A79" i="13"/>
  <c r="B77" i="13"/>
  <c r="A77" i="13"/>
  <c r="B76" i="13"/>
  <c r="A76" i="13"/>
  <c r="B66" i="13"/>
  <c r="A66" i="13"/>
  <c r="B63" i="13"/>
  <c r="A63" i="13"/>
  <c r="B59" i="13"/>
  <c r="A59" i="13"/>
  <c r="B46" i="13"/>
  <c r="A46" i="13"/>
  <c r="B44" i="13"/>
  <c r="A44" i="13"/>
  <c r="B42" i="13"/>
  <c r="A42" i="13"/>
  <c r="B41" i="13"/>
  <c r="A41" i="13"/>
  <c r="B35" i="13"/>
  <c r="A35" i="13"/>
  <c r="B28" i="13"/>
  <c r="A28" i="13"/>
  <c r="B27" i="13"/>
  <c r="A27" i="13"/>
  <c r="B24" i="13"/>
  <c r="A24" i="13"/>
  <c r="B22" i="13"/>
  <c r="A22" i="13"/>
  <c r="B19" i="13"/>
  <c r="A19" i="13"/>
  <c r="B18" i="13"/>
  <c r="A18" i="13"/>
  <c r="B15" i="13"/>
  <c r="A15" i="13"/>
  <c r="B11" i="13"/>
  <c r="A11" i="13"/>
  <c r="B10" i="13"/>
  <c r="A10" i="13"/>
  <c r="B6" i="13"/>
  <c r="A6" i="13"/>
  <c r="B4" i="13"/>
  <c r="A4" i="13"/>
  <c r="A1" i="2" l="1"/>
  <c r="D59" i="8" l="1"/>
  <c r="G66" i="8"/>
  <c r="J65" i="8"/>
  <c r="I65" i="8"/>
  <c r="H65" i="8"/>
  <c r="G65" i="8"/>
  <c r="F65" i="8"/>
  <c r="E65" i="8"/>
  <c r="D65" i="8"/>
  <c r="C65" i="8"/>
  <c r="J58" i="8"/>
  <c r="I58" i="8"/>
  <c r="H58" i="8"/>
  <c r="G58" i="8"/>
  <c r="F58" i="8"/>
  <c r="E58" i="8"/>
  <c r="D58" i="8"/>
  <c r="C58" i="8"/>
  <c r="J57" i="8"/>
  <c r="I57" i="8"/>
  <c r="H57" i="8"/>
  <c r="G57" i="8"/>
  <c r="F57" i="8"/>
  <c r="E57" i="8"/>
  <c r="D57" i="8"/>
  <c r="C57" i="8"/>
  <c r="J56" i="8"/>
  <c r="I56" i="8"/>
  <c r="H56" i="8"/>
  <c r="G56" i="8"/>
  <c r="F56" i="8"/>
  <c r="E56" i="8"/>
  <c r="D56" i="8"/>
  <c r="C56" i="8"/>
  <c r="J61" i="8"/>
  <c r="I61" i="8"/>
  <c r="H61" i="8"/>
  <c r="G61" i="8"/>
  <c r="F61" i="8"/>
  <c r="E61" i="8"/>
  <c r="D61" i="8"/>
  <c r="C61" i="8"/>
  <c r="J60" i="8"/>
  <c r="I60" i="8"/>
  <c r="H60" i="8"/>
  <c r="G60" i="8"/>
  <c r="F60" i="8"/>
  <c r="E60" i="8"/>
  <c r="D60" i="8"/>
  <c r="C60" i="8"/>
  <c r="J59" i="8"/>
  <c r="I59" i="8"/>
  <c r="H59" i="8"/>
  <c r="G59" i="8"/>
  <c r="F59" i="8"/>
  <c r="E59" i="8"/>
  <c r="C59" i="8"/>
  <c r="G55" i="8"/>
  <c r="I54" i="8"/>
  <c r="E54" i="8"/>
  <c r="G53" i="8"/>
  <c r="E53" i="8"/>
  <c r="J67" i="8"/>
  <c r="I49" i="8"/>
  <c r="H49" i="8"/>
  <c r="G49" i="8"/>
  <c r="D67" i="8"/>
  <c r="C49" i="8"/>
  <c r="I51" i="8"/>
  <c r="F66" i="8"/>
  <c r="E48" i="8"/>
  <c r="C48" i="8"/>
  <c r="I47" i="8"/>
  <c r="H47" i="8"/>
  <c r="G50" i="8"/>
  <c r="E50" i="8"/>
  <c r="C47" i="8"/>
  <c r="X16" i="1"/>
  <c r="W16" i="1"/>
  <c r="V37" i="1"/>
  <c r="U37" i="1"/>
  <c r="T37" i="1"/>
  <c r="S37" i="1"/>
  <c r="R37" i="1"/>
  <c r="Q37" i="1"/>
  <c r="P37" i="1"/>
  <c r="O37" i="1"/>
  <c r="V32" i="1"/>
  <c r="P32" i="1"/>
  <c r="R34" i="1"/>
  <c r="R35" i="1" s="1"/>
  <c r="R27" i="1"/>
  <c r="T26" i="1"/>
  <c r="T1" i="1"/>
  <c r="L59" i="8" l="1"/>
  <c r="F54" i="8"/>
  <c r="J55" i="8"/>
  <c r="G51" i="8"/>
  <c r="E52" i="8"/>
  <c r="I53" i="8"/>
  <c r="G54" i="8"/>
  <c r="E55" i="8"/>
  <c r="L26" i="8"/>
  <c r="C62" i="8"/>
  <c r="I62" i="8"/>
  <c r="E64" i="8"/>
  <c r="D53" i="8"/>
  <c r="C53" i="8" s="1"/>
  <c r="J53" i="8"/>
  <c r="H53" i="8"/>
  <c r="D55" i="8"/>
  <c r="C55" i="8" s="1"/>
  <c r="F50" i="8"/>
  <c r="D51" i="8"/>
  <c r="C51" i="8" s="1"/>
  <c r="J51" i="8"/>
  <c r="F53" i="8"/>
  <c r="D54" i="8"/>
  <c r="C54" i="8" s="1"/>
  <c r="J54" i="8"/>
  <c r="H55" i="8"/>
  <c r="H62" i="8"/>
  <c r="F63" i="8"/>
  <c r="D64" i="8"/>
  <c r="J64" i="8"/>
  <c r="G52" i="8"/>
  <c r="G63" i="8"/>
  <c r="D50" i="8"/>
  <c r="C50" i="8" s="1"/>
  <c r="J50" i="8"/>
  <c r="H51" i="8"/>
  <c r="F52" i="8"/>
  <c r="H54" i="8"/>
  <c r="F55" i="8"/>
  <c r="D47" i="8"/>
  <c r="D62" i="8"/>
  <c r="J62" i="8"/>
  <c r="H63" i="8"/>
  <c r="F64" i="8"/>
  <c r="J47" i="8"/>
  <c r="I55" i="8"/>
  <c r="E62" i="8"/>
  <c r="C63" i="8"/>
  <c r="I63" i="8"/>
  <c r="G64" i="8"/>
  <c r="F48" i="8"/>
  <c r="F62" i="8"/>
  <c r="D63" i="8"/>
  <c r="J63" i="8"/>
  <c r="H64" i="8"/>
  <c r="D49" i="8"/>
  <c r="K26" i="8"/>
  <c r="G62" i="8"/>
  <c r="E63" i="8"/>
  <c r="C64" i="8"/>
  <c r="I64" i="8"/>
  <c r="J49" i="8"/>
  <c r="E67" i="8"/>
  <c r="K56" i="8"/>
  <c r="L56" i="8"/>
  <c r="E47" i="8"/>
  <c r="G48" i="8"/>
  <c r="E49" i="8"/>
  <c r="I50" i="8"/>
  <c r="E51" i="8"/>
  <c r="H52" i="8"/>
  <c r="H66" i="8"/>
  <c r="F67" i="8"/>
  <c r="F47" i="8"/>
  <c r="H48" i="8"/>
  <c r="F49" i="8"/>
  <c r="F51" i="8"/>
  <c r="I52" i="8"/>
  <c r="C66" i="8"/>
  <c r="I66" i="8"/>
  <c r="G67" i="8"/>
  <c r="H50" i="8"/>
  <c r="K2" i="8"/>
  <c r="G47" i="8"/>
  <c r="I48" i="8"/>
  <c r="D52" i="8"/>
  <c r="C52" i="8" s="1"/>
  <c r="J52" i="8"/>
  <c r="D66" i="8"/>
  <c r="J66" i="8"/>
  <c r="H67" i="8"/>
  <c r="L2" i="8"/>
  <c r="D48" i="8"/>
  <c r="J48" i="8"/>
  <c r="E66" i="8"/>
  <c r="C67" i="8"/>
  <c r="I67" i="8"/>
  <c r="T29" i="1"/>
  <c r="T30" i="1" s="1"/>
  <c r="S22" i="1"/>
  <c r="O23" i="1"/>
  <c r="U23" i="1"/>
  <c r="O32" i="1"/>
  <c r="U32" i="1"/>
  <c r="Q24" i="1"/>
  <c r="O31" i="1"/>
  <c r="U29" i="1"/>
  <c r="V22" i="1"/>
  <c r="R32" i="1"/>
  <c r="P22" i="1"/>
  <c r="T25" i="1"/>
  <c r="R23" i="1"/>
  <c r="P34" i="1"/>
  <c r="P35" i="1" s="1"/>
  <c r="V25" i="1"/>
  <c r="R24" i="1"/>
  <c r="Q22" i="1"/>
  <c r="U25" i="1"/>
  <c r="S32" i="1"/>
  <c r="O24" i="1"/>
  <c r="U24" i="1"/>
  <c r="S24" i="1"/>
  <c r="X15" i="1"/>
  <c r="R29" i="1"/>
  <c r="R30" i="1" s="1"/>
  <c r="P29" i="1"/>
  <c r="P31" i="1" s="1"/>
  <c r="V29" i="1"/>
  <c r="S23" i="1"/>
  <c r="Q34" i="1"/>
  <c r="Q35" i="1" s="1"/>
  <c r="P25" i="1"/>
  <c r="O25" i="1" s="1"/>
  <c r="T32" i="1"/>
  <c r="P23" i="1"/>
  <c r="T34" i="1"/>
  <c r="T35" i="1" s="1"/>
  <c r="R22" i="1"/>
  <c r="O22" i="1"/>
  <c r="U22" i="1"/>
  <c r="S27" i="1"/>
  <c r="Q23" i="1"/>
  <c r="O34" i="1"/>
  <c r="O35" i="1" s="1"/>
  <c r="U34" i="1"/>
  <c r="U35" i="1" s="1"/>
  <c r="Q36" i="1"/>
  <c r="P36" i="1" s="1"/>
  <c r="T36" i="1"/>
  <c r="V34" i="1"/>
  <c r="V35" i="1" s="1"/>
  <c r="W9" i="1"/>
  <c r="Q26" i="1"/>
  <c r="V26" i="1"/>
  <c r="T27" i="1"/>
  <c r="T28" i="1" s="1"/>
  <c r="P24" i="1"/>
  <c r="V24" i="1"/>
  <c r="T24" i="1"/>
  <c r="S29" i="1"/>
  <c r="Q29" i="1"/>
  <c r="Q30" i="1" s="1"/>
  <c r="S26" i="1"/>
  <c r="Q27" i="1"/>
  <c r="S34" i="1"/>
  <c r="S35" i="1" s="1"/>
  <c r="R26" i="1"/>
  <c r="R28" i="1" s="1"/>
  <c r="P27" i="1"/>
  <c r="O27" i="1" s="1"/>
  <c r="V27" i="1"/>
  <c r="S36" i="1"/>
  <c r="T23" i="1"/>
  <c r="U27" i="1"/>
  <c r="U36" i="1"/>
  <c r="W3" i="1"/>
  <c r="W15" i="1"/>
  <c r="S25" i="1"/>
  <c r="U26" i="1"/>
  <c r="R36" i="1"/>
  <c r="T22" i="1"/>
  <c r="Q25" i="1"/>
  <c r="Q32" i="1"/>
  <c r="V36" i="1"/>
  <c r="P26" i="1"/>
  <c r="R25" i="1"/>
  <c r="S31" i="1" l="1"/>
  <c r="S30" i="1"/>
  <c r="V31" i="1"/>
  <c r="V30" i="1"/>
  <c r="U31" i="1"/>
  <c r="U30" i="1"/>
  <c r="L54" i="8"/>
  <c r="L55" i="8"/>
  <c r="L51" i="8"/>
  <c r="L52" i="8"/>
  <c r="L50" i="8"/>
  <c r="K53" i="8"/>
  <c r="L53" i="8"/>
  <c r="L47" i="8"/>
  <c r="K50" i="8"/>
  <c r="K47" i="8"/>
  <c r="R31" i="1"/>
  <c r="P30" i="1"/>
  <c r="O30" i="1" s="1"/>
  <c r="T31" i="1"/>
  <c r="S28" i="1"/>
  <c r="Q28" i="1"/>
  <c r="W24" i="1"/>
  <c r="W31" i="1"/>
  <c r="X24" i="1"/>
  <c r="U28" i="1"/>
  <c r="W22" i="1"/>
  <c r="Q31" i="1"/>
  <c r="V28" i="1"/>
  <c r="P28" i="1"/>
  <c r="O26" i="1"/>
  <c r="O28" i="1" s="1"/>
  <c r="X22" i="1"/>
  <c r="W25" i="1" l="1"/>
  <c r="O33" i="1"/>
  <c r="Q33" i="1"/>
  <c r="V33" i="1"/>
  <c r="P33" i="1"/>
  <c r="S33" i="1"/>
  <c r="T33" i="1"/>
  <c r="U33" i="1"/>
  <c r="R33" i="1"/>
  <c r="X25" i="1"/>
  <c r="W28" i="1"/>
</calcChain>
</file>

<file path=xl/comments1.xml><?xml version="1.0" encoding="utf-8"?>
<comments xmlns="http://schemas.openxmlformats.org/spreadsheetml/2006/main">
  <authors>
    <author>SW</author>
    <author>ASUS</author>
  </authors>
  <commentList>
    <comment ref="C1" authorId="0" shapeId="0">
      <text>
        <r>
          <rPr>
            <sz val="14"/>
            <color indexed="81"/>
            <rFont val="細明體"/>
            <family val="3"/>
            <charset val="136"/>
          </rPr>
          <t>關於本益比的計算原則</t>
        </r>
        <r>
          <rPr>
            <sz val="9"/>
            <color indexed="81"/>
            <rFont val="Tahoma"/>
            <family val="2"/>
          </rPr>
          <t xml:space="preserve">
</t>
        </r>
      </text>
    </comment>
    <comment ref="O1" authorId="1" shapeId="0">
      <text>
        <r>
          <rPr>
            <b/>
            <sz val="12"/>
            <color indexed="81"/>
            <rFont val="細明體"/>
            <family val="3"/>
            <charset val="136"/>
          </rPr>
          <t>EPS創5季新高</t>
        </r>
      </text>
    </comment>
    <comment ref="P1" authorId="1" shapeId="0">
      <text>
        <r>
          <rPr>
            <b/>
            <sz val="12"/>
            <color indexed="81"/>
            <rFont val="細明體"/>
            <family val="3"/>
            <charset val="136"/>
          </rPr>
          <t xml:space="preserve">純益率不能衰退
</t>
        </r>
        <r>
          <rPr>
            <sz val="9"/>
            <color indexed="81"/>
            <rFont val="Tahoma"/>
            <family val="2"/>
          </rPr>
          <t xml:space="preserve">
</t>
        </r>
      </text>
    </comment>
    <comment ref="Q1" authorId="1" shapeId="0">
      <text>
        <r>
          <rPr>
            <b/>
            <sz val="12"/>
            <color indexed="81"/>
            <rFont val="細明體"/>
            <family val="3"/>
            <charset val="136"/>
          </rPr>
          <t>營運效率</t>
        </r>
      </text>
    </comment>
    <comment ref="R1" authorId="1" shapeId="0">
      <text>
        <r>
          <rPr>
            <b/>
            <sz val="9"/>
            <color indexed="81"/>
            <rFont val="Tahoma"/>
            <family val="2"/>
          </rPr>
          <t>ASUS:</t>
        </r>
        <r>
          <rPr>
            <sz val="9"/>
            <color indexed="81"/>
            <rFont val="Tahoma"/>
            <family val="2"/>
          </rPr>
          <t xml:space="preserve">
</t>
        </r>
        <r>
          <rPr>
            <sz val="12"/>
            <color indexed="81"/>
            <rFont val="細明體"/>
            <family val="3"/>
            <charset val="136"/>
          </rPr>
          <t>現金流量</t>
        </r>
      </text>
    </comment>
    <comment ref="S1" authorId="1" shapeId="0">
      <text>
        <r>
          <rPr>
            <b/>
            <sz val="12"/>
            <color indexed="81"/>
            <rFont val="細明體"/>
            <family val="3"/>
            <charset val="136"/>
          </rPr>
          <t>未來看好度</t>
        </r>
      </text>
    </comment>
  </commentList>
</comments>
</file>

<file path=xl/comments2.xml><?xml version="1.0" encoding="utf-8"?>
<comments xmlns="http://schemas.openxmlformats.org/spreadsheetml/2006/main">
  <authors>
    <author>Windows User</author>
  </authors>
  <commentList>
    <comment ref="H3" authorId="0" shapeId="0">
      <text>
        <r>
          <rPr>
            <b/>
            <sz val="12"/>
            <color indexed="81"/>
            <rFont val="細明體"/>
            <family val="3"/>
            <charset val="136"/>
          </rPr>
          <t>季線向上且乖離很小加分</t>
        </r>
        <r>
          <rPr>
            <sz val="12"/>
            <color indexed="81"/>
            <rFont val="Tahoma"/>
            <family val="2"/>
          </rPr>
          <t xml:space="preserve">
</t>
        </r>
      </text>
    </comment>
    <comment ref="J3" authorId="0" shapeId="0">
      <text>
        <r>
          <rPr>
            <b/>
            <sz val="12"/>
            <color indexed="81"/>
            <rFont val="細明體"/>
            <family val="3"/>
            <charset val="136"/>
          </rPr>
          <t>大型股或8%以上適用</t>
        </r>
        <r>
          <rPr>
            <sz val="9"/>
            <color indexed="81"/>
            <rFont val="Tahoma"/>
            <family val="2"/>
          </rPr>
          <t xml:space="preserve">
</t>
        </r>
      </text>
    </comment>
  </commentList>
</comments>
</file>

<file path=xl/connections.xml><?xml version="1.0" encoding="utf-8"?>
<connections xmlns="http://schemas.openxmlformats.org/spreadsheetml/2006/main">
  <connection id="1" name="連線" type="4" refreshedVersion="5" background="1" saveData="1">
    <webPr sourceData="1" parsePre="1" consecutive="1" xl2000="1" url="http://justdata.yuanta.com.tw/z/zc/zcq/zcq_1476.asp.htm" htmlTables="1"/>
  </connection>
  <connection id="2" name="連線1" type="4" refreshedVersion="5" background="1" saveData="1">
    <webPr sourceData="1" parsePre="1" consecutive="1" xl2000="1" url="http://justdata.yuanta.com.tw/z/zc/zcp/zcpa/zcpa_1476.asp.htm" htmlTables="1"/>
  </connection>
  <connection id="3" name="連線10" type="4" refreshedVersion="5" background="1" saveData="1">
    <webPr sourceData="1" parsePre="1" consecutive="1" xl2000="1" url="http://justdata.yuanta.com.tw/z/zc/zcp/zcpa/zcpa_4426.asp.htm" htmlTables="1"/>
  </connection>
  <connection id="4" name="連線1024" type="4" refreshedVersion="0" background="1">
    <webPr url="http://www.emega.com.tw/z/zc/zch/zch_2108.djhtm" htmlTables="1" htmlFormat="all"/>
  </connection>
  <connection id="5" name="連線1036" type="4" refreshedVersion="0" background="1">
    <webPr url="http://www.tdcc.com.tw/smWeb/QryStock.jsp?SCA_DATE=待讀清單&amp;SqlMethod=StockNo&amp;StockNo=1449&amp;StockName=&amp;sub=%ACd%B8%DF" htmlTables="1" htmlFormat="all"/>
  </connection>
  <connection id="6" name="連線1047" type="4" refreshedVersion="0" background="1">
    <webPr url="http://www.tdcc.com.tw/smWeb/QryStock.jsp?SCA_DATE=20150401&amp;SqlMethod=StockNo&amp;StockNo=1338&amp;StockName=&amp;sub=%ACd%B8%DF" htmlTables="1" htmlFormat="all"/>
  </connection>
  <connection id="7" name="連線1081" type="4" refreshedVersion="0" background="1">
    <webPr url="http://www.tdcc.com.tw/smWeb/QryStock.jsp?SCA_DATE=20150522&amp;SqlMethod=StockNo&amp;StockNo=1316&amp;StockName=&amp;sub=%ACd%B8%DF" htmlTables="1" htmlFormat="all"/>
  </connection>
  <connection id="8" name="連線11" type="4" refreshedVersion="0" background="1">
    <webPr url="http://www.tdcc.com.tw/smWeb/QryStock.jsp?SCA_DATE=20150605&amp;SqlMethod=StockNo&amp;StockNo=1310&amp;StockName=&amp;sub=%ACd%B8%DF" htmlTables="1" htmlFormat="all"/>
  </connection>
  <connection id="9" name="連線1152" type="4" refreshedVersion="0" background="1">
    <webPr url="http://tw.stock.yahoo.com/q/q?s=8341" htmlTables="1" htmlFormat="all"/>
  </connection>
  <connection id="10" name="連線119" type="4" refreshedVersion="0" background="1">
    <webPr url="http://justdata.yuanta.com.tw/z/zc/zcq/zcq_2637.asp.htm" htmlTables="1" htmlFormat="all"/>
  </connection>
  <connection id="11" name="連線12" type="4" refreshedVersion="5" background="1" saveData="1">
    <webPr sourceData="1" parsePre="1" consecutive="1" xl2000="1" url="http://justdata.yuanta.com.tw/z/zc/zc3/zc3_4426.asp.htm" htmlTables="1"/>
  </connection>
  <connection id="12" name="連線122" type="4" refreshedVersion="0" background="1">
    <webPr url="http://www.tdcc.com.tw/smWeb/QryStock.jsp?SCA_DATE=20150401&amp;SqlMethod=StockNo&amp;StockNo=1340&amp;StockName=&amp;sub=%ACd%B8%DF" htmlTables="1" htmlFormat="all"/>
  </connection>
  <connection id="13" name="連線13" type="4" refreshedVersion="0" background="1">
    <webPr url="http://www.tdcc.com.tw/smWeb/QryStock.jsp?SCA_DATE=20150430&amp;SqlMethod=StockNo&amp;StockNo=3675&amp;StockName=&amp;sub=%ACd%B8%DF" htmlTables="1" htmlFormat="all"/>
  </connection>
  <connection id="14" name="連線1389" type="4" refreshedVersion="0" background="1">
    <webPr url="http://www.emega.com.tw/z/zc/zcn/zcn.djhtm?a=6431&amp;b=4" htmlTables="1" htmlFormat="all"/>
  </connection>
  <connection id="15" name="連線14" type="4" refreshedVersion="5" background="1" saveData="1">
    <webPr sourceData="1" parsePre="1" consecutive="1" xl2000="1" url="http://www.tpex.org.tw/web/stock/aftertrading/otc_quotes_no1430/stk_wn1430_print.php?l=zh-tw&amp;d=104/10/22&amp;se=EW&amp;s=0,asc,0" htmlTables="1"/>
  </connection>
  <connection id="16" name="連線1431" type="4" refreshedVersion="0" background="1">
    <webPr url="http://www.tdcc.com.tw/smWeb/QryStock.jsp?SCA_DATE=20150529&amp;SqlMethod=StockNo&amp;StockNo=1593&amp;StockName=&amp;sub=%ACd%B8%DF" htmlTables="1" htmlFormat="all"/>
  </connection>
  <connection id="17" name="連線15" type="4" refreshedVersion="5" background="1" saveData="1">
    <webPr sourceData="1" consecutive="1" xl2000="1" url="http://www.emega.com.tw/z/zc/zch/zch_6213.djhtm" htmlTables="1"/>
  </connection>
  <connection id="18" name="連線1515" type="4" refreshedVersion="0" background="1">
    <webPr url="http://www.tdcc.com.tw/smWeb/QryStock.jsp?SCA_DATE=20150522&amp;SqlMethod=StockNo&amp;StockNo=1443&amp;StockName=&amp;sub=%ACd%B8%DF" htmlTables="1" htmlFormat="all"/>
  </connection>
  <connection id="19" name="連線16" type="4" refreshedVersion="5" background="1">
    <webPr sourceData="1" xl2000="1" url="http://www.cnyes.com/twstock/Technical/6213.htm" htmlTables="1">
      <tables count="1">
        <x v="2"/>
      </tables>
    </webPr>
  </connection>
  <connection id="20" name="連線1758" type="4" refreshedVersion="0" background="1">
    <webPr url="http://www.tdcc.com.tw/smWeb/QryStock.jsp?SCA_DATE=20150605&amp;SqlMethod=StockNo&amp;StockNo=3085&amp;StockName=&amp;sub=%ACd%B8%DF" htmlTables="1" htmlFormat="all"/>
  </connection>
  <connection id="21" name="連線1781" type="4" refreshedVersion="0" background="1">
    <webPr url="http://www.tdcc.com.tw/smWeb/QryStock.jsp?SCA_DATE=20150529&amp;SqlMethod=StockNo&amp;StockNo=1213&amp;StockName=&amp;sub=%ACd%B8%DF" htmlTables="1" htmlFormat="all"/>
  </connection>
  <connection id="22" name="連線1785" type="4" refreshedVersion="0" background="1">
    <webPr url="http://www.tdcc.com.tw/smWeb/QryStock.jsp?SCA_DATE=20150605&amp;SqlMethod=StockNo&amp;StockNo=1319&amp;StockName=&amp;sub=%ACd%B8%DF" htmlTables="1" htmlFormat="all"/>
  </connection>
  <connection id="23" name="連線184" type="4" refreshedVersion="0" background="1">
    <webPr url="http://www.cnyes.com/twstock/Technical/8928.htm" htmlTables="1" htmlFormat="all"/>
  </connection>
  <connection id="24" name="連線19" type="4" refreshedVersion="0" background="1">
    <webPr url="http://www.tdcc.com.tw/smWeb/QryStock.jsp?SCA_DATE=20150508&amp;SqlMethod=StockNo&amp;StockNo=1539&amp;StockName=&amp;sub=%ACd%B8%DF" htmlTables="1" htmlFormat="all"/>
  </connection>
  <connection id="25" name="連線1938" type="4" refreshedVersion="0" background="1">
    <webPr url="http://www.tdcc.com.tw/smWeb/QryStock.jsp?SCA_DATE=20150605&amp;SqlMethod=StockNo&amp;StockNo=1446&amp;StockName=&amp;sub=%ACd%B8%DF" htmlTables="1" htmlFormat="all"/>
  </connection>
  <connection id="26" name="連線196" type="4" refreshedVersion="0" background="1">
    <webPr url="http://www.emega.com.tw/z/zc/zch/zch_6171.djhtm" htmlTables="1" htmlFormat="all"/>
  </connection>
  <connection id="27" name="連線2" type="4" refreshedVersion="5" background="1" saveData="1">
    <webPr sourceData="1" parsePre="1" consecutive="1" xl2000="1" url="http://justdata.yuanta.com.tw/z/zc/zc3/zc3_1476.asp.htm" htmlTables="1"/>
  </connection>
  <connection id="28" name="連線20" type="4" refreshedVersion="0" background="1">
    <webPr url="http://www.emega.com.tw/z/zc/zch/zch_1409.djhtm" htmlTables="1" htmlFormat="all"/>
  </connection>
  <connection id="29" name="連線2027" type="4" refreshedVersion="0" background="1">
    <webPr url="http://www.tdcc.com.tw/smWeb/QryStock.jsp?SCA_DATE=20150529&amp;SqlMethod=StockNo&amp;StockNo=1446&amp;StockName=&amp;sub=%ACd%B8%DF" htmlTables="1" htmlFormat="all"/>
  </connection>
  <connection id="30" name="連線2119" type="4" refreshedVersion="0" background="1">
    <webPr url="http://www.tdcc.com.tw/smWeb/QryStock.jsp?SCA_DATE=20150529&amp;SqlMethod=StockNo&amp;StockNo=1227&amp;StockName=&amp;sub=%ACd%B8%DF" htmlTables="1" htmlFormat="all"/>
  </connection>
  <connection id="31" name="連線212" type="4" refreshedVersion="0" background="1">
    <webPr url="http://www.tdcc.com.tw/smWeb/QryStock.jsp?SCA_DATE=20150401&amp;SqlMethod=StockNo&amp;StockNo=6224&amp;StockName=&amp;sub=%ACd%B8%DF" htmlTables="1" htmlFormat="all"/>
  </connection>
  <connection id="32" name="連線2320" type="4" refreshedVersion="0" background="1">
    <webPr url="http://www.tdcc.com.tw/smWeb/QryStock.jsp?SCA_DATE=20150605&amp;SqlMethod=StockNo&amp;StockNo=3584&amp;StockName=&amp;sub=%ACd%B8%DF" htmlTables="1" htmlFormat="all"/>
  </connection>
  <connection id="33" name="連線258" type="4" refreshedVersion="0" background="1">
    <webPr url="http://www.cnyes.com/twstock/Technical/3675.htm" htmlTables="1" htmlFormat="all"/>
  </connection>
  <connection id="34" name="連線2626" type="4" refreshedVersion="0" background="1">
    <webPr url="http://www.tdcc.com.tw/smWeb/QryStock.jsp?SCA_DATE=20150605&amp;SqlMethod=StockNo&amp;StockNo=1806&amp;StockName=&amp;sub=%ACd%B8%DF" htmlTables="1" htmlFormat="all"/>
  </connection>
  <connection id="35" name="連線272" type="4" refreshedVersion="0" background="1">
    <webPr url="http://www.emega.com.tw/z/zc/zch/zch_2102.djhtm" htmlTables="1" htmlFormat="all"/>
  </connection>
  <connection id="36" name="連線274" type="4" refreshedVersion="0" background="1">
    <webPr url="https://tw.stock.yahoo.com/d/s/earning_2733.html" htmlTables="1" htmlFormat="all"/>
  </connection>
  <connection id="37" name="連線285" type="4" refreshedVersion="0" background="1">
    <webPr url="http://www.emega.com.tw/z/zc/zch/zch_1220.djhtm" htmlTables="1" htmlFormat="all"/>
  </connection>
  <connection id="38" name="連線3" type="4" refreshedVersion="5" background="1" saveData="1">
    <webPr sourceData="1" parsePre="1" consecutive="1" xl2000="1" url="http://justdata.yuanta.com.tw/z/zc/zcq/zcq_1477.asp.htm" htmlTables="1"/>
  </connection>
  <connection id="39" name="連線33" type="4" refreshedVersion="0" background="1">
    <webPr url="http://www.cnyes.com/twstock/Technical/3005.htm" htmlTables="1" htmlFormat="all"/>
  </connection>
  <connection id="40" name="連線338" type="4" refreshedVersion="0" background="1">
    <webPr url="http://www.emega.com.tw/z/zc/zch/zch_1517.djhtm" htmlTables="1" htmlFormat="all"/>
  </connection>
  <connection id="41" name="連線355" type="4" refreshedVersion="0" background="1">
    <webPr url="http://justdata.yuanta.com.tw/z/zc/zcq/zcq_1201.asp.htm" htmlTables="1" htmlFormat="all"/>
  </connection>
  <connection id="42" name="連線36" type="4" refreshedVersion="0" background="1">
    <webPr url="http://www.emega.com.tw/z/zc/zch/zch_1452.djhtm" htmlTables="1" htmlFormat="all"/>
  </connection>
  <connection id="43" name="連線360" type="4" refreshedVersion="0" background="1">
    <webPr url="http://www.cnyes.com/twstock/Technical/2106.htm" htmlTables="1" htmlFormat="all"/>
  </connection>
  <connection id="44" name="連線364" type="4" refreshedVersion="0" background="1">
    <webPr url="https://tw.stock.yahoo.com/d/s/earning_3627.html" htmlTables="1" htmlFormat="all"/>
  </connection>
  <connection id="45" name="連線369" type="4" refreshedVersion="0" background="1">
    <webPr url="http://www.emega.com.tw/z/zc/zch/zch_1446.djhtm" htmlTables="1" htmlFormat="all"/>
  </connection>
  <connection id="46" name="連線37" type="4" refreshedVersion="0" background="1">
    <webPr url="http://www.emega.com.tw/z/zc/zch/zch_2637.djhtm" htmlTables="1" htmlFormat="all"/>
  </connection>
  <connection id="47" name="連線376" type="4" refreshedVersion="0" background="1">
    <webPr url="http://www.emega.com.tw/z/zc/zch/zch_2424.djhtm" htmlTables="1" htmlFormat="all"/>
  </connection>
  <connection id="48" name="連線4" type="4" refreshedVersion="0" background="1">
    <webPr url="http://www.tdcc.com.tw/smWeb/QryStock.jsp?SCA_DATE=20150302&amp;SqlMethod=StockNo&amp;StockNo=1103&amp;StockName=&amp;sub=%ACd%B8%DF" htmlTables="1" htmlFormat="all"/>
  </connection>
  <connection id="49" name="連線409" type="4" refreshedVersion="0" background="1">
    <webPr url="http://tw.stock.yahoo.com/q/q?s=8421" htmlTables="1" htmlFormat="all"/>
  </connection>
  <connection id="50" name="連線5" type="4" refreshedVersion="5" background="1" saveData="1">
    <webPr sourceData="1" parsePre="1" consecutive="1" xl2000="1" url="http://justdata.yuanta.com.tw/z/zc/zcp/zcpa/zcpa_1477.asp.htm" htmlTables="1"/>
  </connection>
  <connection id="51" name="連線52" type="4" refreshedVersion="0" background="1">
    <webPr url="http://www.emega.com.tw/z/zc/zch/zch_1471.djhtm" htmlTables="1" htmlFormat="all"/>
  </connection>
  <connection id="52" name="連線56" type="4" refreshedVersion="0" background="1">
    <webPr url="http://www.tdcc.com.tw/smWeb/QryStock.jsp?SCA_DATE=20150605&amp;SqlMethod=StockNo&amp;StockNo=1539&amp;StockName=&amp;sub=%ACd%B8%DF" htmlTables="1" htmlFormat="all"/>
  </connection>
  <connection id="53" name="連線586" type="4" refreshedVersion="0" background="1">
    <webPr url="http://www.emega.com.tw/z/zc/zch/zch_2115.djhtm" htmlTables="1" htmlFormat="all"/>
  </connection>
  <connection id="54" name="連線59" type="4" refreshedVersion="0" background="1">
    <webPr url="http://justdata.yuanta.com.tw/z/zc/zcl/zcl.djhtm?a=2441&amp;b=2" htmlTables="1" htmlFormat="all"/>
  </connection>
  <connection id="55" name="連線6" type="4" refreshedVersion="0" background="1">
    <webPr url="http://www.tdcc.com.tw/smWeb/QryStock.jsp?SCA_DATE=20150522&amp;SqlMethod=StockNo&amp;StockNo=1312&amp;StockName=&amp;sub=%ACd%B8%DF" htmlTables="1" htmlFormat="all"/>
  </connection>
  <connection id="56" name="連線645" type="4" refreshedVersion="0" background="1">
    <webPr url="http://www.emega.com.tw/z/zc/zch/zch_2349.djhtm" htmlTables="1" htmlFormat="all"/>
  </connection>
  <connection id="57" name="連線682" type="4" refreshedVersion="0" background="1">
    <webPr url="http://www.tdcc.com.tw/smWeb/QryStock.jsp?SCA_DATE=20150605&amp;SqlMethod=StockNo&amp;StockNo=1612&amp;StockName=&amp;sub=%ACd%B8%DF" htmlTables="1" htmlFormat="all"/>
  </connection>
  <connection id="58" name="連線69" type="4" refreshedVersion="0" background="1">
    <webPr url="http://www.cnyes.com/twstock/Technical/1537_1.65%.htm" htmlTables="1" htmlFormat="all"/>
  </connection>
  <connection id="59" name="連線7" type="4" refreshedVersion="5" background="1" saveData="1">
    <webPr sourceData="1" parsePre="1" consecutive="1" xl2000="1" url="http://justdata.yuanta.com.tw/z/zc/zc3/zc3_1477.asp.htm" htmlTables="1"/>
  </connection>
  <connection id="60" name="連線70" type="4" refreshedVersion="0" background="1">
    <webPr url="http://www.cnyes.com/twstock/Technical/1537_1.65%.htm" htmlTables="1" htmlFormat="all"/>
  </connection>
  <connection id="61" name="連線765" type="4" refreshedVersion="0" background="1">
    <webPr url="http://www.tdcc.com.tw/smWeb/QryStock.jsp?SCA_DATE=20150508&amp;SqlMethod=StockNo&amp;StockNo=1444&amp;StockName=&amp;sub=%ACd%B8%DF" htmlTables="1" htmlFormat="all"/>
  </connection>
  <connection id="62" name="連線77" type="4" refreshedVersion="0" background="1">
    <webPr url="http://www.emega.com.tw/z/zc/zch/zch_6286.djhtm" htmlTables="1" htmlFormat="all"/>
  </connection>
  <connection id="63" name="連線778" type="4" refreshedVersion="0" background="1">
    <webPr url="http://www.tdcc.com.tw/smWeb/QryStock.jsp?SCA_DATE=20150605&amp;SqlMethod=StockNo&amp;StockNo=1314&amp;StockName=&amp;sub=%ACd%B8%DF" htmlTables="1" htmlFormat="all"/>
  </connection>
  <connection id="64" name="連線790" type="4" refreshedVersion="0" background="1">
    <webPr url="http://www.tdcc.com.tw/smWeb/QryStock.jsp?SCA_DATE=20150605&amp;SqlMethod=StockNo&amp;StockNo=1310&amp;StockName=&amp;sub=%ACd%B8%DF" htmlTables="1" htmlFormat="all"/>
  </connection>
  <connection id="65" name="連線799" type="4" refreshedVersion="0" background="1">
    <webPr url="http://www.emega.com.tw/z/zc/zch/zch_6171.djhtm" htmlTables="1" htmlFormat="all"/>
  </connection>
  <connection id="66" name="連線8" type="4" refreshedVersion="5" background="1" saveData="1">
    <webPr sourceData="1" parsePre="1" consecutive="1" xl2000="1" url="http://justdata.yuanta.com.tw/z/zc/zcq/zcq_4426.asp.htm" htmlTables="1"/>
  </connection>
  <connection id="67" name="連線83" type="4" refreshedVersion="0" background="1">
    <webPr url="http://justdata.yuanta.com.tw/z/zc/zcl/zcl.djhtm?a=2455&amp;b=2" htmlTables="1" htmlFormat="all"/>
  </connection>
  <connection id="68" name="連線888" type="4" refreshedVersion="0" background="1">
    <webPr url="http://www.tdcc.com.tw/smWeb/QryStock.jsp?SCA_DATE=20150508&amp;SqlMethod=StockNo&amp;StockNo=3005&amp;StockName=&amp;sub=%ACd%B8%DF" htmlTables="1" htmlFormat="all"/>
  </connection>
  <connection id="69" name="連線9" type="4" refreshedVersion="5" background="1" saveData="1">
    <webPr sourceData="1" parsePre="1" consecutive="1" xl2000="1" url="http://www.tpex.org.tw/web/stock/aftertrading/otc_quotes_no1430/stk_wn1430_print.php?l=zh-tw&amp;d=104/10/20&amp;se=EW&amp;s=0,asc,0" htmlTables="1"/>
  </connection>
  <connection id="70" name="連線93" type="4" refreshedVersion="0" background="1">
    <webPr url="http://www.emega.com.tw/z/zc/zch/zch_1232.djhtm" htmlTables="1" htmlFormat="all"/>
  </connection>
  <connection id="71" name="連線930" type="4" refreshedVersion="0" background="1">
    <webPr url="http://www.emega.com.tw/z/zc/zch/zch_3706.djhtm" htmlTables="1" htmlFormat="all"/>
  </connection>
  <connection id="72" name="連線940" type="4" refreshedVersion="0" background="1">
    <webPr url="http://www.tdcc.com.tw/smWeb/QryStock.jsp?SCA_DATE=20150508&amp;SqlMethod=StockNo&amp;StockNo=1470&amp;StockName=&amp;sub=%ACd%B8%DF" htmlTables="1" htmlFormat="all"/>
  </connection>
  <connection id="73" name="連線97" type="4" refreshedVersion="0" background="1">
    <webPr url="http://www.tdcc.com.tw/smWeb/QryStock.jsp?SCA_DATE=20150302&amp;SqlMethod=StockNo&amp;StockNo=2010&amp;StockName=&amp;sub=%ACd%B8%DF" htmlTables="1" htmlFormat="all"/>
  </connection>
</connections>
</file>

<file path=xl/sharedStrings.xml><?xml version="1.0" encoding="utf-8"?>
<sst xmlns="http://schemas.openxmlformats.org/spreadsheetml/2006/main" count="5850" uniqueCount="2533">
  <si>
    <t>數字(百萬)</t>
    <phoneticPr fontId="2" type="noConversion"/>
  </si>
  <si>
    <t>Q-7</t>
    <phoneticPr fontId="2" type="noConversion"/>
  </si>
  <si>
    <t>Q-6</t>
    <phoneticPr fontId="2" type="noConversion"/>
  </si>
  <si>
    <t>Q-5</t>
  </si>
  <si>
    <t>Q-4</t>
  </si>
  <si>
    <t>Q-3</t>
  </si>
  <si>
    <t>Q-2</t>
  </si>
  <si>
    <t>Q-1</t>
  </si>
  <si>
    <t>Q</t>
    <phoneticPr fontId="2" type="noConversion"/>
  </si>
  <si>
    <t>極端值</t>
    <phoneticPr fontId="2" type="noConversion"/>
  </si>
  <si>
    <t>營業收入淨額</t>
  </si>
  <si>
    <t>營業成本</t>
  </si>
  <si>
    <t>營業外收入合計</t>
    <phoneticPr fontId="2" type="noConversion"/>
  </si>
  <si>
    <t>本期稅後淨利</t>
  </si>
  <si>
    <t>每股盈餘 (元)</t>
  </si>
  <si>
    <t xml:space="preserve"> 存貨</t>
  </si>
  <si>
    <t xml:space="preserve"> 應付帳款及票據</t>
  </si>
  <si>
    <t>負債總額</t>
  </si>
  <si>
    <t>資產總額</t>
  </si>
  <si>
    <t>來自營運之現金流量</t>
  </si>
  <si>
    <t xml:space="preserve"> 固定資產(購置)</t>
  </si>
  <si>
    <t xml:space="preserve"> 長期投資(新增)</t>
  </si>
  <si>
    <t xml:space="preserve"> 折舊</t>
    <phoneticPr fontId="2" type="noConversion"/>
  </si>
  <si>
    <t xml:space="preserve"> 攤提</t>
    <phoneticPr fontId="2" type="noConversion"/>
  </si>
  <si>
    <t>股東權益總額</t>
    <phoneticPr fontId="2" type="noConversion"/>
  </si>
  <si>
    <t>毛利率</t>
  </si>
  <si>
    <t>營益率</t>
    <phoneticPr fontId="2" type="noConversion"/>
  </si>
  <si>
    <t xml:space="preserve">負債比 </t>
  </si>
  <si>
    <t>付款天數</t>
    <phoneticPr fontId="2" type="noConversion"/>
  </si>
  <si>
    <t>收款天數</t>
  </si>
  <si>
    <t>出貨天數</t>
  </si>
  <si>
    <t>營運天數</t>
  </si>
  <si>
    <t>折舊+攤提</t>
  </si>
  <si>
    <t>折舊與攤提率</t>
  </si>
  <si>
    <t>營業現金效益</t>
    <phoneticPr fontId="2" type="noConversion"/>
  </si>
  <si>
    <t>本業基期</t>
    <phoneticPr fontId="2" type="noConversion"/>
  </si>
  <si>
    <t>本業比率</t>
    <phoneticPr fontId="2" type="noConversion"/>
  </si>
  <si>
    <t>ROE</t>
    <phoneticPr fontId="2" type="noConversion"/>
  </si>
  <si>
    <t>附註說明</t>
    <phoneticPr fontId="2" type="noConversion"/>
  </si>
  <si>
    <t>季線</t>
    <phoneticPr fontId="2" type="noConversion"/>
  </si>
  <si>
    <t>標的</t>
    <phoneticPr fontId="2" type="noConversion"/>
  </si>
  <si>
    <t>代碼</t>
    <phoneticPr fontId="2" type="noConversion"/>
  </si>
  <si>
    <t>名稱</t>
    <phoneticPr fontId="2" type="noConversion"/>
  </si>
  <si>
    <t>EPS</t>
    <phoneticPr fontId="2" type="noConversion"/>
  </si>
  <si>
    <t>純益</t>
    <phoneticPr fontId="2" type="noConversion"/>
  </si>
  <si>
    <t>周轉率</t>
    <phoneticPr fontId="2" type="noConversion"/>
  </si>
  <si>
    <t>現流</t>
    <phoneticPr fontId="2" type="noConversion"/>
  </si>
  <si>
    <t>擴廠</t>
    <phoneticPr fontId="2" type="noConversion"/>
  </si>
  <si>
    <t>自由現金流量</t>
    <phoneticPr fontId="2" type="noConversion"/>
  </si>
  <si>
    <t>單位:百萬</t>
  </si>
  <si>
    <t>蘭弦  2015/Q1  選股追蹤</t>
    <phoneticPr fontId="2" type="noConversion"/>
  </si>
  <si>
    <t>內容摘要</t>
    <phoneticPr fontId="2" type="noConversion"/>
  </si>
  <si>
    <t>期別</t>
  </si>
  <si>
    <t>104.1Q</t>
  </si>
  <si>
    <t>103.4Q</t>
  </si>
  <si>
    <t>103.3Q</t>
  </si>
  <si>
    <t>103.2Q</t>
  </si>
  <si>
    <t>103.1Q</t>
  </si>
  <si>
    <t>102.4Q</t>
  </si>
  <si>
    <t>102.3Q</t>
  </si>
  <si>
    <t>營業毛利</t>
  </si>
  <si>
    <t>聯屬公司已(未)實現銷</t>
  </si>
  <si>
    <t>已實現銷貨毛利</t>
  </si>
  <si>
    <t>營業費用</t>
  </si>
  <si>
    <t>營業費用─推銷費用</t>
  </si>
  <si>
    <t>營業費用─管理費用</t>
  </si>
  <si>
    <t>營業費用─研究發展</t>
  </si>
  <si>
    <t>營業利益</t>
  </si>
  <si>
    <t>利息收入</t>
  </si>
  <si>
    <t>投資收入／股利收入</t>
  </si>
  <si>
    <t>處分投資利得</t>
  </si>
  <si>
    <t>處分資產利得</t>
  </si>
  <si>
    <t>金融資產評價利益</t>
  </si>
  <si>
    <t>金融負債評價利益</t>
  </si>
  <si>
    <t>其他評價利益</t>
  </si>
  <si>
    <t>金融商品減損迴轉</t>
  </si>
  <si>
    <t>減損迴轉利益</t>
  </si>
  <si>
    <t>存貨跌價損失回轉</t>
  </si>
  <si>
    <t>兌換盈益</t>
  </si>
  <si>
    <t>其他收入</t>
  </si>
  <si>
    <t>營業外收入合計</t>
  </si>
  <si>
    <t>利息支出</t>
  </si>
  <si>
    <t>負債性特別股股息</t>
  </si>
  <si>
    <t>投資損失</t>
  </si>
  <si>
    <t>處分投資損失</t>
  </si>
  <si>
    <t>處分資產損失</t>
  </si>
  <si>
    <t>金融資產評價損失</t>
  </si>
  <si>
    <t>金融負債評價損失</t>
  </si>
  <si>
    <t xml:space="preserve">其他評價損失  </t>
  </si>
  <si>
    <t>金融商品減損損失</t>
  </si>
  <si>
    <t>減損損失</t>
  </si>
  <si>
    <t>兌換損失</t>
  </si>
  <si>
    <t>存貨評價損失</t>
  </si>
  <si>
    <t>其他損失</t>
  </si>
  <si>
    <t>營業外支出合計</t>
  </si>
  <si>
    <t>稅前淨利</t>
  </si>
  <si>
    <t>所得稅費用</t>
  </si>
  <si>
    <t>經常利益</t>
  </si>
  <si>
    <t>停業部門損益</t>
  </si>
  <si>
    <t>非常項目</t>
  </si>
  <si>
    <t>累計影響數</t>
  </si>
  <si>
    <t>少數股權前稅後淨利</t>
  </si>
  <si>
    <t>取得多數股權前淨利</t>
  </si>
  <si>
    <t>N/A</t>
  </si>
  <si>
    <t>少數股權淨利</t>
  </si>
  <si>
    <t>子公司董監酬勞</t>
  </si>
  <si>
    <t>稀釋每股盈餘 (元)</t>
  </si>
  <si>
    <t>加權平均股本</t>
  </si>
  <si>
    <t>發放特別股股息</t>
  </si>
  <si>
    <t>EPS －員工分紅費用化</t>
  </si>
  <si>
    <t>庫藏股數--母公司</t>
  </si>
  <si>
    <t>庫藏股數－子公司持有</t>
  </si>
  <si>
    <t>稅前息前淨利</t>
  </si>
  <si>
    <t>稅前息前折舊前淨利</t>
  </si>
  <si>
    <t>常續性稅後淨利</t>
  </si>
  <si>
    <t>以上資料僅供參考，本公司不負任何法律責任，投資人若依此以為買賣依據，須自負盈虧之責。</t>
  </si>
  <si>
    <t>數據以台灣證券交易所與證券櫃檯買賣中心公告之內容為準。</t>
  </si>
  <si>
    <t>稅後淨利</t>
  </si>
  <si>
    <t>不動用現金之非常損益</t>
  </si>
  <si>
    <t xml:space="preserve"> 折舊</t>
  </si>
  <si>
    <t xml:space="preserve"> 攤提</t>
  </si>
  <si>
    <t xml:space="preserve"> 投資收益－權益法</t>
  </si>
  <si>
    <t xml:space="preserve"> 投資損失－權益法</t>
  </si>
  <si>
    <t xml:space="preserve"> 現金股利收入－權益法</t>
  </si>
  <si>
    <t xml:space="preserve"> 短期投資處分損(益)</t>
  </si>
  <si>
    <t xml:space="preserve"> 固定資產處分損(益)</t>
  </si>
  <si>
    <t xml:space="preserve"> 長期投資處分損(益)</t>
  </si>
  <si>
    <t xml:space="preserve"> 準備提列(迴轉)</t>
  </si>
  <si>
    <t xml:space="preserve"> 應收帳款(增)減</t>
  </si>
  <si>
    <t xml:space="preserve"> 存貨(增)減</t>
  </si>
  <si>
    <t xml:space="preserve"> 應付帳款增(減)</t>
  </si>
  <si>
    <t xml:space="preserve"> 其他調整項─營業</t>
  </si>
  <si>
    <t xml:space="preserve"> 短期投資出售(新購)</t>
  </si>
  <si>
    <t xml:space="preserve"> 出售長期投資價款</t>
  </si>
  <si>
    <t xml:space="preserve"> 處分固定資產價款</t>
  </si>
  <si>
    <t xml:space="preserve"> 其他調整項─投資</t>
  </si>
  <si>
    <t>投資活動之現金流量</t>
  </si>
  <si>
    <t xml:space="preserve"> 現金增資</t>
  </si>
  <si>
    <t xml:space="preserve"> 支付現金股利</t>
  </si>
  <si>
    <t xml:space="preserve"> 支付董監酬勞員工紅利</t>
  </si>
  <si>
    <t xml:space="preserve"> 短期借款新增(償還)</t>
  </si>
  <si>
    <t xml:space="preserve"> 長期借款新增(償還)</t>
  </si>
  <si>
    <t xml:space="preserve"> 發行公司債</t>
  </si>
  <si>
    <t xml:space="preserve"> 償還公司債</t>
  </si>
  <si>
    <t xml:space="preserve"> 庫藏股票減(增)</t>
  </si>
  <si>
    <t xml:space="preserve"> 其他調整項─理財</t>
  </si>
  <si>
    <t>理財活動之現金流量</t>
  </si>
  <si>
    <t>匯率影響數</t>
  </si>
  <si>
    <t>本期產生現金流量</t>
  </si>
  <si>
    <t>期初現金約當現金</t>
  </si>
  <si>
    <t>期末現金及約當現金</t>
  </si>
  <si>
    <t>本期支付利息</t>
  </si>
  <si>
    <t>本期支付所得稅</t>
  </si>
  <si>
    <t>[說明]上列會計科目中，投資收益－權益法、長期投資(新增)、固定資產(購置)、</t>
  </si>
  <si>
    <t>支付現金股利與支付董監酬勞員工紅利等科目視為現金流出。</t>
  </si>
  <si>
    <t>股票</t>
  </si>
  <si>
    <t>代號</t>
  </si>
  <si>
    <t>時間</t>
  </si>
  <si>
    <t>成交</t>
  </si>
  <si>
    <t>買進</t>
  </si>
  <si>
    <t>賣出</t>
  </si>
  <si>
    <t>漲跌</t>
  </si>
  <si>
    <t>張數</t>
  </si>
  <si>
    <t>昨收</t>
  </si>
  <si>
    <t>開盤</t>
  </si>
  <si>
    <t>最高</t>
  </si>
  <si>
    <t>最低</t>
  </si>
  <si>
    <t>個股資料</t>
  </si>
  <si>
    <t>加到投資組合</t>
  </si>
  <si>
    <t>成交明細</t>
  </si>
  <si>
    <r>
      <t>技術</t>
    </r>
    <r>
      <rPr>
        <sz val="10"/>
        <color rgb="FF000000"/>
        <rFont val="繚s簡?穢繳?矇"/>
        <family val="3"/>
        <charset val="136"/>
      </rPr>
      <t xml:space="preserve"> </t>
    </r>
    <r>
      <rPr>
        <sz val="10"/>
        <color rgb="FF0000FF"/>
        <rFont val="繚s簡?穢繳?矇"/>
        <family val="3"/>
        <charset val="136"/>
      </rPr>
      <t>新聞</t>
    </r>
  </si>
  <si>
    <r>
      <t>基本</t>
    </r>
    <r>
      <rPr>
        <sz val="10"/>
        <color rgb="FF000000"/>
        <rFont val="繚s簡?穢繳?矇"/>
        <family val="3"/>
        <charset val="136"/>
      </rPr>
      <t xml:space="preserve"> </t>
    </r>
    <r>
      <rPr>
        <sz val="10"/>
        <color rgb="FF0000FF"/>
        <rFont val="繚s簡?穢繳?矇"/>
        <family val="3"/>
        <charset val="136"/>
      </rPr>
      <t>籌碼</t>
    </r>
  </si>
  <si>
    <t>個股健診</t>
  </si>
  <si>
    <t>凱基證券下單</t>
  </si>
  <si>
    <t>STR_DA</t>
  </si>
  <si>
    <t>STR_DB</t>
  </si>
  <si>
    <t>STR_DC</t>
  </si>
  <si>
    <t>STR_DD</t>
  </si>
  <si>
    <t>營收A</t>
    <phoneticPr fontId="23" type="noConversion"/>
  </si>
  <si>
    <t>http://www.tdcc.com.tw/smWeb/QryStock.jsp</t>
    <phoneticPr fontId="23" type="noConversion"/>
  </si>
  <si>
    <r>
      <rPr>
        <b/>
        <sz val="10"/>
        <color theme="1"/>
        <rFont val="新細明體"/>
        <family val="1"/>
        <charset val="136"/>
      </rPr>
      <t>全數清單</t>
    </r>
    <phoneticPr fontId="23" type="noConversion"/>
  </si>
  <si>
    <t xml:space="preserve"> 現金及約當現金</t>
  </si>
  <si>
    <t xml:space="preserve"> 短期投資</t>
  </si>
  <si>
    <t xml:space="preserve"> 其他應收款</t>
  </si>
  <si>
    <t xml:space="preserve"> 預付費用及預付款</t>
  </si>
  <si>
    <t xml:space="preserve"> 其他流動資產</t>
  </si>
  <si>
    <t>流動資產</t>
  </si>
  <si>
    <t>長期投資</t>
  </si>
  <si>
    <t xml:space="preserve"> 土地成本</t>
  </si>
  <si>
    <t xml:space="preserve"> 房屋及建築成本</t>
  </si>
  <si>
    <t xml:space="preserve"> 機器及儀器設備成本</t>
  </si>
  <si>
    <t xml:space="preserve"> 其他設備成本</t>
  </si>
  <si>
    <t xml:space="preserve"> 固定資產重估增值</t>
  </si>
  <si>
    <t xml:space="preserve"> 固定資產累計折舊</t>
  </si>
  <si>
    <t xml:space="preserve"> 固定資產損失準備</t>
  </si>
  <si>
    <t xml:space="preserve"> 未完工程及預付款</t>
  </si>
  <si>
    <t>固定資產</t>
  </si>
  <si>
    <t xml:space="preserve"> 遞延資產</t>
  </si>
  <si>
    <t xml:space="preserve"> 無形資產</t>
  </si>
  <si>
    <t xml:space="preserve"> 什項資產</t>
  </si>
  <si>
    <t>其他資產</t>
  </si>
  <si>
    <t xml:space="preserve"> 應付費用</t>
  </si>
  <si>
    <t xml:space="preserve"> 預收款項</t>
  </si>
  <si>
    <t xml:space="preserve"> 其他應付款</t>
  </si>
  <si>
    <t xml:space="preserve"> 應付所得稅</t>
  </si>
  <si>
    <t xml:space="preserve"> 一年內到期長期負債</t>
  </si>
  <si>
    <t xml:space="preserve"> 其他流動負債</t>
  </si>
  <si>
    <t>流動負債</t>
  </si>
  <si>
    <t>長期負債</t>
  </si>
  <si>
    <t xml:space="preserve"> 遞延貸項</t>
  </si>
  <si>
    <t xml:space="preserve"> 退休金準備</t>
  </si>
  <si>
    <t xml:space="preserve"> 遞延所得稅</t>
  </si>
  <si>
    <t xml:space="preserve"> 土地增值稅準備</t>
  </si>
  <si>
    <t xml:space="preserve"> 各項損失準備</t>
  </si>
  <si>
    <t xml:space="preserve"> 什項負債</t>
  </si>
  <si>
    <t>其他負債及準備</t>
  </si>
  <si>
    <t>股東權益總額</t>
  </si>
  <si>
    <t>少數股權</t>
  </si>
  <si>
    <t>負債及股東權益總額</t>
  </si>
  <si>
    <t xml:space="preserve"> 應收帳款及票據</t>
  </si>
  <si>
    <t xml:space="preserve"> 短期借支</t>
  </si>
  <si>
    <t xml:space="preserve"> 在建工程</t>
  </si>
  <si>
    <t xml:space="preserve"> 短期借款</t>
  </si>
  <si>
    <t xml:space="preserve"> 應付商業本票</t>
  </si>
  <si>
    <t xml:space="preserve"> 普通股股本</t>
  </si>
  <si>
    <t xml:space="preserve"> 特別股股本</t>
  </si>
  <si>
    <t xml:space="preserve"> 資本公積</t>
  </si>
  <si>
    <t xml:space="preserve"> 法定盈餘公積</t>
  </si>
  <si>
    <t xml:space="preserve"> 特別盈餘公積</t>
  </si>
  <si>
    <t xml:space="preserve"> 未分配盈餘</t>
  </si>
  <si>
    <t xml:space="preserve"> 長期投資評價損失</t>
  </si>
  <si>
    <t>稅前淨利</t>
    <phoneticPr fontId="2" type="noConversion"/>
  </si>
  <si>
    <t>月集保_前兩期日期</t>
    <phoneticPr fontId="23" type="noConversion"/>
  </si>
  <si>
    <t>月集保_前一期日期</t>
    <phoneticPr fontId="23" type="noConversion"/>
  </si>
  <si>
    <t>月集保_最新日期</t>
    <phoneticPr fontId="23" type="noConversion"/>
  </si>
  <si>
    <t>月集保_查詢差異</t>
    <phoneticPr fontId="23" type="noConversion"/>
  </si>
  <si>
    <t>週集保_最新日期</t>
    <phoneticPr fontId="2" type="noConversion"/>
  </si>
  <si>
    <t>週集保_前一期日期</t>
    <phoneticPr fontId="2" type="noConversion"/>
  </si>
  <si>
    <t>週集保_前兩期日期</t>
    <phoneticPr fontId="2" type="noConversion"/>
  </si>
  <si>
    <t>週集保_查詢差異</t>
    <phoneticPr fontId="2" type="noConversion"/>
  </si>
  <si>
    <t>全數清單</t>
    <phoneticPr fontId="2" type="noConversion"/>
  </si>
  <si>
    <t>營收 與 毛利率</t>
    <phoneticPr fontId="2" type="noConversion"/>
  </si>
  <si>
    <t>應收轉轉天數</t>
    <phoneticPr fontId="2" type="noConversion"/>
  </si>
  <si>
    <t>存貨轉轉天數</t>
    <phoneticPr fontId="2" type="noConversion"/>
  </si>
  <si>
    <t>代碼</t>
  </si>
  <si>
    <t>極端值</t>
  </si>
  <si>
    <t>每股盈餘 (元)</t>
    <phoneticPr fontId="2" type="noConversion"/>
  </si>
  <si>
    <t>來自營運之現金流量</t>
    <phoneticPr fontId="2" type="noConversion"/>
  </si>
  <si>
    <t>來自營運之現金流量</t>
    <phoneticPr fontId="2" type="noConversion"/>
  </si>
  <si>
    <t>營業費用</t>
    <phoneticPr fontId="2" type="noConversion"/>
  </si>
  <si>
    <t xml:space="preserve"> 應收週轉天數</t>
  </si>
  <si>
    <t xml:space="preserve"> 存貨 週轉天數</t>
  </si>
  <si>
    <t xml:space="preserve"> 負債比 </t>
  </si>
  <si>
    <t>蘭指標_A</t>
    <phoneticPr fontId="2" type="noConversion"/>
  </si>
  <si>
    <t>折舊率</t>
    <phoneticPr fontId="2" type="noConversion"/>
  </si>
  <si>
    <t>營業費用率</t>
    <phoneticPr fontId="2" type="noConversion"/>
  </si>
  <si>
    <t>外資</t>
    <phoneticPr fontId="2" type="noConversion"/>
  </si>
  <si>
    <t>投信</t>
    <phoneticPr fontId="2" type="noConversion"/>
  </si>
  <si>
    <t>營業收入淨額</t>
    <phoneticPr fontId="2" type="noConversion"/>
  </si>
  <si>
    <t xml:space="preserve"> 應收帳款及票據</t>
    <phoneticPr fontId="2" type="noConversion"/>
  </si>
  <si>
    <t>營業利益</t>
    <phoneticPr fontId="2" type="noConversion"/>
  </si>
  <si>
    <t>折舊模擬</t>
    <phoneticPr fontId="2" type="noConversion"/>
  </si>
  <si>
    <t>最新
單季EPS</t>
    <phoneticPr fontId="23" type="noConversion"/>
  </si>
  <si>
    <t>104.2Q</t>
  </si>
  <si>
    <t>當月
累計營收</t>
    <phoneticPr fontId="2" type="noConversion"/>
  </si>
  <si>
    <t>當月營收</t>
    <phoneticPr fontId="2" type="noConversion"/>
  </si>
  <si>
    <t>上月營收</t>
    <phoneticPr fontId="2" type="noConversion"/>
  </si>
  <si>
    <t>去年當月營收</t>
    <phoneticPr fontId="2" type="noConversion"/>
  </si>
  <si>
    <t>去年
累計營收</t>
    <phoneticPr fontId="2" type="noConversion"/>
  </si>
  <si>
    <t>同月
增減(%)</t>
    <phoneticPr fontId="2" type="noConversion"/>
  </si>
  <si>
    <t>上月
增減(%)</t>
    <phoneticPr fontId="2" type="noConversion"/>
  </si>
  <si>
    <t>累計
增減(%)</t>
    <phoneticPr fontId="2" type="noConversion"/>
  </si>
  <si>
    <t>清單</t>
    <phoneticPr fontId="2" type="noConversion"/>
  </si>
  <si>
    <t>方法:查詢月份+15</t>
    <phoneticPr fontId="2" type="noConversion"/>
  </si>
  <si>
    <t>日期</t>
  </si>
  <si>
    <t>買進(張)</t>
  </si>
  <si>
    <t>賣出(張)</t>
  </si>
  <si>
    <t>買賣超(張)</t>
  </si>
  <si>
    <t>依類別:</t>
  </si>
  <si>
    <t>依券商:</t>
  </si>
  <si>
    <t>福邦證券對廣積(8050)之進出明細圖</t>
  </si>
  <si>
    <t>福邦證券對廣積(8050)之進出明細表</t>
  </si>
  <si>
    <t>最新
收盤價</t>
    <phoneticPr fontId="23" type="noConversion"/>
  </si>
  <si>
    <t>最新
本業比率</t>
    <phoneticPr fontId="23" type="noConversion"/>
  </si>
  <si>
    <t>總市值</t>
    <phoneticPr fontId="23" type="noConversion"/>
  </si>
  <si>
    <t>最新
流通股數</t>
    <phoneticPr fontId="23" type="noConversion"/>
  </si>
  <si>
    <t>過去一年營業額</t>
    <phoneticPr fontId="23" type="noConversion"/>
  </si>
  <si>
    <r>
      <rPr>
        <b/>
        <sz val="12"/>
        <color theme="1"/>
        <rFont val="新細明體"/>
        <family val="1"/>
        <charset val="136"/>
      </rPr>
      <t>全數清單</t>
    </r>
    <phoneticPr fontId="23" type="noConversion"/>
  </si>
  <si>
    <t>營收</t>
    <phoneticPr fontId="2" type="noConversion"/>
  </si>
  <si>
    <t>集保</t>
    <phoneticPr fontId="2" type="noConversion"/>
  </si>
  <si>
    <t>財報面[50%]</t>
    <phoneticPr fontId="2" type="noConversion"/>
  </si>
  <si>
    <t>融資</t>
    <phoneticPr fontId="2" type="noConversion"/>
  </si>
  <si>
    <t>PSR</t>
    <phoneticPr fontId="2" type="noConversion"/>
  </si>
  <si>
    <t>輔助面[50%]</t>
    <phoneticPr fontId="2" type="noConversion"/>
  </si>
  <si>
    <t>法人</t>
    <phoneticPr fontId="2" type="noConversion"/>
  </si>
  <si>
    <t>市價</t>
    <phoneticPr fontId="2" type="noConversion"/>
  </si>
  <si>
    <t>PE</t>
    <phoneticPr fontId="2" type="noConversion"/>
  </si>
  <si>
    <t>證券代號</t>
  </si>
  <si>
    <t>證券名稱</t>
  </si>
  <si>
    <t>收盤價</t>
  </si>
  <si>
    <t xml:space="preserve">1312A </t>
  </si>
  <si>
    <t xml:space="preserve">2002A </t>
  </si>
  <si>
    <t>安心</t>
  </si>
  <si>
    <t>德麥</t>
  </si>
  <si>
    <t>恩得利</t>
  </si>
  <si>
    <t>台翰</t>
  </si>
  <si>
    <t>捷邦</t>
  </si>
  <si>
    <t>濱川</t>
  </si>
  <si>
    <t>祺驊</t>
  </si>
  <si>
    <t>直得</t>
  </si>
  <si>
    <t>南光</t>
  </si>
  <si>
    <t>生泰</t>
  </si>
  <si>
    <t>福盈科</t>
  </si>
  <si>
    <t>易威</t>
  </si>
  <si>
    <t>寶利徠</t>
  </si>
  <si>
    <t>風青</t>
  </si>
  <si>
    <t>世鎧</t>
  </si>
  <si>
    <t>晉椿</t>
  </si>
  <si>
    <t>世德</t>
  </si>
  <si>
    <t>泰茂</t>
  </si>
  <si>
    <t>宇隆</t>
  </si>
  <si>
    <t>謚源</t>
  </si>
  <si>
    <t>桃園店</t>
  </si>
  <si>
    <t>燦星旅</t>
  </si>
  <si>
    <t>易飛網</t>
  </si>
  <si>
    <t>全域</t>
  </si>
  <si>
    <t>美磊</t>
  </si>
  <si>
    <t>久大</t>
  </si>
  <si>
    <t>艾訊</t>
  </si>
  <si>
    <t>遠昇</t>
  </si>
  <si>
    <t>鴻碩</t>
  </si>
  <si>
    <t>港建</t>
  </si>
  <si>
    <t>及成</t>
  </si>
  <si>
    <t>穩懋</t>
  </si>
  <si>
    <t>晶宏</t>
  </si>
  <si>
    <t>新揚科</t>
  </si>
  <si>
    <t>波若威</t>
  </si>
  <si>
    <t>基亞</t>
  </si>
  <si>
    <t>安茂</t>
  </si>
  <si>
    <t>佰研</t>
  </si>
  <si>
    <t>耀勝</t>
  </si>
  <si>
    <t>大學光</t>
  </si>
  <si>
    <t>至寶電</t>
  </si>
  <si>
    <t>原相</t>
  </si>
  <si>
    <t>金麗科</t>
  </si>
  <si>
    <t>昱捷</t>
  </si>
  <si>
    <t>光環</t>
  </si>
  <si>
    <t>千如</t>
  </si>
  <si>
    <t>海灣</t>
  </si>
  <si>
    <t>台星科</t>
  </si>
  <si>
    <t>海德威</t>
  </si>
  <si>
    <t>東碩</t>
  </si>
  <si>
    <t>太普高</t>
  </si>
  <si>
    <t>微端</t>
  </si>
  <si>
    <t>遠翔科</t>
  </si>
  <si>
    <t>英濟</t>
  </si>
  <si>
    <t>杭特</t>
  </si>
  <si>
    <t>帛漢</t>
  </si>
  <si>
    <t>岱稜</t>
  </si>
  <si>
    <t>斐成</t>
  </si>
  <si>
    <t>加百裕</t>
  </si>
  <si>
    <t>幸康</t>
  </si>
  <si>
    <t>尚立</t>
  </si>
  <si>
    <t>上詮</t>
  </si>
  <si>
    <t>典範</t>
  </si>
  <si>
    <t>熱映</t>
  </si>
  <si>
    <t>精材</t>
  </si>
  <si>
    <t>崇越電</t>
  </si>
  <si>
    <t>光燿科</t>
  </si>
  <si>
    <t>哲固</t>
  </si>
  <si>
    <t>由田</t>
  </si>
  <si>
    <t>致振</t>
  </si>
  <si>
    <t>力致</t>
  </si>
  <si>
    <t>崧騰</t>
  </si>
  <si>
    <t>森寶</t>
  </si>
  <si>
    <t>單井</t>
  </si>
  <si>
    <t>環天科</t>
  </si>
  <si>
    <t>位速</t>
  </si>
  <si>
    <t>亞帝歐</t>
  </si>
  <si>
    <t>宏森</t>
  </si>
  <si>
    <t>聚積</t>
  </si>
  <si>
    <t>力旺</t>
  </si>
  <si>
    <t>堡達</t>
  </si>
  <si>
    <t>兆利</t>
  </si>
  <si>
    <t>世禾</t>
  </si>
  <si>
    <t>力積</t>
  </si>
  <si>
    <t>禾瑞亞</t>
  </si>
  <si>
    <t>神準</t>
  </si>
  <si>
    <t>頂晶科</t>
  </si>
  <si>
    <t>牧德</t>
  </si>
  <si>
    <t>磐儀</t>
  </si>
  <si>
    <t>東林</t>
  </si>
  <si>
    <t>鼎翰</t>
  </si>
  <si>
    <t>富晶通</t>
  </si>
  <si>
    <t>光頡</t>
  </si>
  <si>
    <t>西勝</t>
  </si>
  <si>
    <t>新鉅科</t>
  </si>
  <si>
    <t>晟楠</t>
  </si>
  <si>
    <t>精聯</t>
  </si>
  <si>
    <t>漢微科</t>
  </si>
  <si>
    <t>光耀</t>
  </si>
  <si>
    <t>康聯訊</t>
  </si>
  <si>
    <t>歐買尬</t>
  </si>
  <si>
    <t>營邦</t>
  </si>
  <si>
    <t>漢磊</t>
  </si>
  <si>
    <t>聯上</t>
  </si>
  <si>
    <t>友華</t>
  </si>
  <si>
    <t>太醫</t>
  </si>
  <si>
    <t>健亞</t>
  </si>
  <si>
    <t>台微體</t>
  </si>
  <si>
    <t>鈺緯</t>
  </si>
  <si>
    <t>智擎</t>
  </si>
  <si>
    <t>展旺</t>
  </si>
  <si>
    <t>醣聯</t>
  </si>
  <si>
    <t>久裕</t>
  </si>
  <si>
    <t>浩鼎</t>
  </si>
  <si>
    <t>杏一</t>
  </si>
  <si>
    <t>環瑞醫</t>
  </si>
  <si>
    <t>勝昱</t>
  </si>
  <si>
    <t>福大</t>
  </si>
  <si>
    <t>三圓</t>
  </si>
  <si>
    <t>聚紡</t>
  </si>
  <si>
    <t>金雨</t>
  </si>
  <si>
    <t>崇友</t>
  </si>
  <si>
    <t>科嶠</t>
  </si>
  <si>
    <t>桓達</t>
  </si>
  <si>
    <t>長佳</t>
  </si>
  <si>
    <t>中美實</t>
  </si>
  <si>
    <t>磐亞</t>
  </si>
  <si>
    <t>南璋</t>
  </si>
  <si>
    <t>永捷</t>
  </si>
  <si>
    <t>美琪瑪</t>
  </si>
  <si>
    <t>雙美</t>
  </si>
  <si>
    <t>熒茂</t>
  </si>
  <si>
    <t>泰博</t>
  </si>
  <si>
    <t>新復興</t>
  </si>
  <si>
    <t>德英</t>
  </si>
  <si>
    <t>友輝</t>
  </si>
  <si>
    <t>亞電</t>
  </si>
  <si>
    <t>牧東</t>
  </si>
  <si>
    <t>商店街</t>
  </si>
  <si>
    <t>亞泰</t>
  </si>
  <si>
    <t>華星光</t>
  </si>
  <si>
    <t>榮剛</t>
  </si>
  <si>
    <t>久陽</t>
  </si>
  <si>
    <t>華祺</t>
  </si>
  <si>
    <t>富強</t>
  </si>
  <si>
    <t>坤悅</t>
  </si>
  <si>
    <t>寶碩</t>
  </si>
  <si>
    <t>蒙恬</t>
  </si>
  <si>
    <t>雷笛克</t>
  </si>
  <si>
    <t>智晶</t>
  </si>
  <si>
    <t>天鉞電</t>
  </si>
  <si>
    <t>美桀</t>
  </si>
  <si>
    <t>笙科</t>
  </si>
  <si>
    <t>尚凡</t>
  </si>
  <si>
    <t>數字</t>
  </si>
  <si>
    <t>邑昇</t>
  </si>
  <si>
    <t>寶得利</t>
  </si>
  <si>
    <t>太欣</t>
  </si>
  <si>
    <t>鼎創達</t>
  </si>
  <si>
    <t>寶島科</t>
  </si>
  <si>
    <t>凱美</t>
  </si>
  <si>
    <t>士開</t>
  </si>
  <si>
    <t>天揚</t>
  </si>
  <si>
    <t>世界</t>
  </si>
  <si>
    <t>佳總</t>
  </si>
  <si>
    <t>力麗店</t>
  </si>
  <si>
    <t>中光電</t>
  </si>
  <si>
    <t>捷元</t>
  </si>
  <si>
    <t>力瑋</t>
  </si>
  <si>
    <t>台半</t>
  </si>
  <si>
    <t>振發</t>
  </si>
  <si>
    <t>高技</t>
  </si>
  <si>
    <t>寶聯通</t>
  </si>
  <si>
    <t>佶優</t>
  </si>
  <si>
    <t>訊利電</t>
  </si>
  <si>
    <t>宣德</t>
  </si>
  <si>
    <t>富驊</t>
  </si>
  <si>
    <t>凱鈺</t>
  </si>
  <si>
    <t>智冠</t>
  </si>
  <si>
    <t>通泰</t>
  </si>
  <si>
    <t>同亨</t>
  </si>
  <si>
    <t>長鴻</t>
  </si>
  <si>
    <t>力麒</t>
  </si>
  <si>
    <t>豐謙</t>
  </si>
  <si>
    <t>聖暉</t>
  </si>
  <si>
    <t>陸海</t>
  </si>
  <si>
    <t>中菲行</t>
  </si>
  <si>
    <t>台名</t>
  </si>
  <si>
    <t>德記</t>
  </si>
  <si>
    <t>寶雅</t>
  </si>
  <si>
    <t>大展證</t>
  </si>
  <si>
    <t>大慶證</t>
  </si>
  <si>
    <t>群益期</t>
  </si>
  <si>
    <t>新普</t>
  </si>
  <si>
    <t>廣運</t>
  </si>
  <si>
    <t>基因</t>
  </si>
  <si>
    <t>耕興</t>
  </si>
  <si>
    <t>順發</t>
  </si>
  <si>
    <t>禾昌</t>
  </si>
  <si>
    <t>捷波</t>
  </si>
  <si>
    <t>華電網</t>
  </si>
  <si>
    <t>統振</t>
  </si>
  <si>
    <t>亞銳士</t>
  </si>
  <si>
    <t>立敦</t>
  </si>
  <si>
    <t>亞通</t>
  </si>
  <si>
    <t>合晶</t>
  </si>
  <si>
    <t>新潤</t>
  </si>
  <si>
    <t>萬泰科</t>
  </si>
  <si>
    <t>詩肯</t>
  </si>
  <si>
    <t>海韻電</t>
  </si>
  <si>
    <t>雷科</t>
  </si>
  <si>
    <t>理銘</t>
  </si>
  <si>
    <t>岳豐</t>
  </si>
  <si>
    <t>晉泰</t>
  </si>
  <si>
    <t>旺矽</t>
  </si>
  <si>
    <t>茂綸</t>
  </si>
  <si>
    <t>研通</t>
  </si>
  <si>
    <t>系微</t>
  </si>
  <si>
    <t>高僑</t>
  </si>
  <si>
    <t>康呈</t>
  </si>
  <si>
    <t>驊訊</t>
  </si>
  <si>
    <t>易通展</t>
  </si>
  <si>
    <t>茂迪</t>
  </si>
  <si>
    <t>臺龍</t>
  </si>
  <si>
    <t>沛波</t>
  </si>
  <si>
    <t>宇加</t>
  </si>
  <si>
    <t>百徽</t>
  </si>
  <si>
    <t>久元</t>
  </si>
  <si>
    <t>富裔</t>
  </si>
  <si>
    <t>方土昶</t>
  </si>
  <si>
    <t>台燿</t>
  </si>
  <si>
    <t>安鈦克</t>
  </si>
  <si>
    <t>沛亨</t>
  </si>
  <si>
    <t>晶焱</t>
  </si>
  <si>
    <t>統新</t>
  </si>
  <si>
    <t>惠光</t>
  </si>
  <si>
    <t>聚和</t>
  </si>
  <si>
    <t>富強鑫</t>
  </si>
  <si>
    <t>瀧澤科</t>
  </si>
  <si>
    <t>佑華</t>
  </si>
  <si>
    <t>長園科</t>
  </si>
  <si>
    <t>安國</t>
  </si>
  <si>
    <t>東捷</t>
  </si>
  <si>
    <t>全達</t>
  </si>
  <si>
    <t>能率豐</t>
  </si>
  <si>
    <t>奧斯特</t>
  </si>
  <si>
    <t>漢承泰</t>
  </si>
  <si>
    <t>瑞穎</t>
  </si>
  <si>
    <t>福華</t>
  </si>
  <si>
    <t>華鎂鑫</t>
  </si>
  <si>
    <t>品安</t>
  </si>
  <si>
    <t>大億科</t>
  </si>
  <si>
    <t>新漢</t>
  </si>
  <si>
    <t>千附</t>
  </si>
  <si>
    <t>森田</t>
  </si>
  <si>
    <t>實威</t>
  </si>
  <si>
    <t>明揚</t>
  </si>
  <si>
    <t>旭源</t>
  </si>
  <si>
    <t>惠普</t>
  </si>
  <si>
    <t>匯鑽科</t>
  </si>
  <si>
    <t>東生華</t>
  </si>
  <si>
    <t>弘帆</t>
  </si>
  <si>
    <t>鉅邁</t>
  </si>
  <si>
    <t>霹靂</t>
  </si>
  <si>
    <t>欣雄</t>
  </si>
  <si>
    <t>全銓</t>
  </si>
  <si>
    <t>光隆</t>
  </si>
  <si>
    <t>欣泰</t>
  </si>
  <si>
    <t>北基</t>
  </si>
  <si>
    <t>鉅明</t>
  </si>
  <si>
    <t>富堡</t>
  </si>
  <si>
    <t>青鋼</t>
  </si>
  <si>
    <t>邦泰</t>
  </si>
  <si>
    <t>明安</t>
  </si>
  <si>
    <t>關中</t>
  </si>
  <si>
    <t>琉園</t>
  </si>
  <si>
    <t>邁達康</t>
  </si>
  <si>
    <t>PE</t>
    <phoneticPr fontId="23" type="noConversion"/>
  </si>
  <si>
    <t>蘭值</t>
    <phoneticPr fontId="2" type="noConversion"/>
  </si>
  <si>
    <t>A</t>
    <phoneticPr fontId="2" type="noConversion"/>
  </si>
  <si>
    <t>B</t>
    <phoneticPr fontId="2" type="noConversion"/>
  </si>
  <si>
    <t>C</t>
    <phoneticPr fontId="2" type="noConversion"/>
  </si>
  <si>
    <t>個股資訊項目精華版2.0重大訊息</t>
  </si>
  <si>
    <t>基本資料</t>
  </si>
  <si>
    <t>彙總報表</t>
  </si>
  <si>
    <t>股東會及股利</t>
  </si>
  <si>
    <t>公司治理</t>
  </si>
  <si>
    <t>財務報表</t>
  </si>
  <si>
    <t>重大訊息與公告</t>
  </si>
  <si>
    <t>營運概況</t>
  </si>
  <si>
    <t>投資專區</t>
  </si>
  <si>
    <t>認購（售）權證</t>
  </si>
  <si>
    <t>債券</t>
  </si>
  <si>
    <t>資產證券化</t>
  </si>
  <si>
    <t xml:space="preserve">重大訊息與公告 </t>
  </si>
  <si>
    <t>重大訊息</t>
  </si>
  <si>
    <t>即時重大訊息</t>
  </si>
  <si>
    <t>即時重大訊息-第二上</t>
  </si>
  <si>
    <t>市(櫃)公司(含TDR)</t>
  </si>
  <si>
    <t>當日重大訊息</t>
  </si>
  <si>
    <t>當日重大訊息-第二上</t>
  </si>
  <si>
    <t>歷史重大訊息-本國及</t>
  </si>
  <si>
    <t>第一上市(櫃)公司(含</t>
  </si>
  <si>
    <t>98.10.30前TDR重訊)</t>
  </si>
  <si>
    <t>歷史重大訊息-第二上</t>
  </si>
  <si>
    <t>重大訊息主旨全文檢索</t>
  </si>
  <si>
    <t>臺灣存託憑證收盤價彙總</t>
  </si>
  <si>
    <t>表</t>
  </si>
  <si>
    <t>法說會</t>
  </si>
  <si>
    <t>公告查詢</t>
  </si>
  <si>
    <t>券商對媒體轉載之澄清或</t>
  </si>
  <si>
    <t>說明</t>
  </si>
  <si>
    <t xml:space="preserve">   即時重大訊息</t>
  </si>
  <si>
    <t>列印網頁</t>
  </si>
  <si>
    <t>開新視窗</t>
  </si>
  <si>
    <t>問題回報</t>
  </si>
  <si>
    <t>回上頁</t>
  </si>
  <si>
    <t>市場別：全體公司</t>
  </si>
  <si>
    <t>資料庫中查無需求資料</t>
  </si>
  <si>
    <t>電子投票│ 不繼續公開發行│ 市場公告│ 公司治理評鑑│ 聯絡我們│ 網站地圖│ 網站使用說明│ 網站使用課程</t>
  </si>
  <si>
    <t>合併營收</t>
  </si>
  <si>
    <t>上櫃</t>
  </si>
  <si>
    <t>營業收入</t>
  </si>
  <si>
    <t>累計營業收入</t>
  </si>
  <si>
    <t>備註</t>
  </si>
  <si>
    <t>-</t>
  </si>
  <si>
    <t>中華食品</t>
  </si>
  <si>
    <t>環泰企業</t>
  </si>
  <si>
    <t>本月增減百分比下降之原因為水產末端整體需求下降所導致。</t>
  </si>
  <si>
    <t>世坤塑膠</t>
  </si>
  <si>
    <t>東隆興業</t>
  </si>
  <si>
    <t>新昕纖維</t>
  </si>
  <si>
    <t>飛寶動能</t>
  </si>
  <si>
    <t>本月增減百分比達50％以上係因104年新增牛仔褲外銷業務所致</t>
  </si>
  <si>
    <t>金洲海洋</t>
  </si>
  <si>
    <t>松懋工業</t>
  </si>
  <si>
    <t>營收減少，主要係因化纖廠市況不佳，胚布訂單減少所致。</t>
  </si>
  <si>
    <t>光明絲織</t>
  </si>
  <si>
    <t>新增纖維事業部生產銷售加工絲產品</t>
  </si>
  <si>
    <t>興采實業</t>
  </si>
  <si>
    <t>係增加子公司「Daiichikasei Holdings Co.,Ltd.」營收所致.</t>
  </si>
  <si>
    <t>力肯實業</t>
  </si>
  <si>
    <t>新麥企業</t>
  </si>
  <si>
    <t>和勤精機</t>
  </si>
  <si>
    <t>精確實業</t>
  </si>
  <si>
    <t>健信科技</t>
  </si>
  <si>
    <t>取得蘇州源成鋁制品制造有限公司股權具有控制力，故從六月份起開始合併營收</t>
  </si>
  <si>
    <t>上列為本公司自結數</t>
  </si>
  <si>
    <t>高鋒工業</t>
  </si>
  <si>
    <t>永彰機電</t>
  </si>
  <si>
    <t>霖</t>
  </si>
  <si>
    <t>江興鍛壓</t>
  </si>
  <si>
    <t>協易機械</t>
  </si>
  <si>
    <t>慶騰精密</t>
  </si>
  <si>
    <t>至興精機</t>
  </si>
  <si>
    <t>鈦昇科技</t>
  </si>
  <si>
    <t>無。</t>
  </si>
  <si>
    <t>朋程科技</t>
  </si>
  <si>
    <t>皇田工業</t>
  </si>
  <si>
    <t>唐鋒實業</t>
  </si>
  <si>
    <t>主要係本月份攪拌器出貨量大增</t>
  </si>
  <si>
    <t>台蠟</t>
  </si>
  <si>
    <t>主因中油公司於103年9月停止供應本公司粗蠟，本公司生產之油蠟亦停止銷售中油，故103年10月起銷售量大幅下降致營業收入減少。</t>
  </si>
  <si>
    <t>大恭化學</t>
  </si>
  <si>
    <t>因台中銀103.6.19起非子公司，104年起不再採用異業別公告合併營收，業外收益亦不計入並同步調整去年同期營收。</t>
  </si>
  <si>
    <t>永純化工</t>
  </si>
  <si>
    <t>大立高</t>
  </si>
  <si>
    <t>康普材料</t>
  </si>
  <si>
    <t>精華光學</t>
  </si>
  <si>
    <t>合世生醫</t>
  </si>
  <si>
    <t>訊聯生物</t>
  </si>
  <si>
    <t>杏昌生技</t>
  </si>
  <si>
    <t>原料藥業務營收增加</t>
  </si>
  <si>
    <t>進階生物</t>
  </si>
  <si>
    <t>本月及本年累計營收分別較去年同期增長193.61%及158.26%，主要係自主開發的保健產品銷售較去年同期成長所致</t>
  </si>
  <si>
    <t>永日化工</t>
  </si>
  <si>
    <t>本月產品銷售美國增加致營收成長</t>
  </si>
  <si>
    <t>百略醫學</t>
  </si>
  <si>
    <t>台灣東洋</t>
  </si>
  <si>
    <t>邦特生技</t>
  </si>
  <si>
    <t>濟生藥廠</t>
  </si>
  <si>
    <t>健喬信元</t>
  </si>
  <si>
    <t>優盛醫學</t>
  </si>
  <si>
    <t>本公司自104年8月起合併澳優乳業股份有限公司營收。</t>
  </si>
  <si>
    <t>天良生技</t>
  </si>
  <si>
    <t>中天生技</t>
  </si>
  <si>
    <t>聯合骨科</t>
  </si>
  <si>
    <t>晶宇生技</t>
  </si>
  <si>
    <t>本期沒有認列生技設備收入</t>
  </si>
  <si>
    <t>曜亞國際</t>
  </si>
  <si>
    <t>基期不含富動科技之數字</t>
  </si>
  <si>
    <t>創源生技</t>
  </si>
  <si>
    <t>依本公司會計師103年第三季財報核閱後結果調整修正營業收入金額，部分交易依交易性質淨額表達，並同步更正營收金額</t>
  </si>
  <si>
    <t>聿新生技</t>
  </si>
  <si>
    <t>授權金收入USD16,000,000</t>
  </si>
  <si>
    <t>鐿鈦科技</t>
  </si>
  <si>
    <t>業務拓展訂單量增加</t>
  </si>
  <si>
    <t>本月抗體生產銷售已交貨，待驗收完成即可開立銷貨發票。</t>
  </si>
  <si>
    <t>瑞基海洋</t>
  </si>
  <si>
    <t>本月與去年本月營收無增減;本年累計與去年累計營收無增減</t>
  </si>
  <si>
    <t>安成藥業</t>
  </si>
  <si>
    <t>本年度(2015)自有產品在美正式上市銷售，故營收成長</t>
  </si>
  <si>
    <t>安克生醫</t>
  </si>
  <si>
    <t>本期與去年同期營收皆為0</t>
  </si>
  <si>
    <t>本年營收較去年同期增加百分比達50％以上，係因本公司104年6月認列簽約金收入美金三十萬元所致。</t>
  </si>
  <si>
    <t>本月因出貨ddRElement四台及ddRFormula二台致營收增加。</t>
  </si>
  <si>
    <t>本公司目前營收主要以接受客戶委託藥品開發的技術服務收入為主。此認列係以服務內容完成的進度認列收入，故變化較大。</t>
  </si>
  <si>
    <t>豪展醫療</t>
  </si>
  <si>
    <t>合一生技</t>
  </si>
  <si>
    <t>強生製藥</t>
  </si>
  <si>
    <t>因代理商海外準証尚未取得,影响銷售計劃</t>
  </si>
  <si>
    <t>盛弘醫藥</t>
  </si>
  <si>
    <t>客戶需求增加</t>
  </si>
  <si>
    <t>大江生醫</t>
  </si>
  <si>
    <t>唐榮公司</t>
  </si>
  <si>
    <t>強新工業</t>
  </si>
  <si>
    <t>建錩實業</t>
  </si>
  <si>
    <t>松和工業</t>
  </si>
  <si>
    <t>因今年度客戶訂單增加，故營收相對成長。</t>
  </si>
  <si>
    <t>恒耀國際</t>
  </si>
  <si>
    <t>係於103年Q3取得BOITUN BVI股權及德國ESKA公司股權，因103年Q3始併入其營收，故本年度較去年累計成長68.88%</t>
  </si>
  <si>
    <t>有益鋼鐵</t>
  </si>
  <si>
    <t>不銹鋼價格持續下跌影響</t>
  </si>
  <si>
    <t>普格科技</t>
  </si>
  <si>
    <t>笙泉科技</t>
  </si>
  <si>
    <t>亞信電子</t>
  </si>
  <si>
    <t>倚強科技</t>
  </si>
  <si>
    <t>受到競爭環境影響導致營收衰退</t>
  </si>
  <si>
    <t>鑫創科技</t>
  </si>
  <si>
    <t>威剛科技</t>
  </si>
  <si>
    <t>欣銓科技</t>
  </si>
  <si>
    <t>本月營收主要減少原因為全球電子終端產品需求疲弱及主要銷售客戶之庫存調整。</t>
  </si>
  <si>
    <t>尼克森微</t>
  </si>
  <si>
    <t>台灣類比</t>
  </si>
  <si>
    <t>本月營收較去年同期減少主要係除去年同期有較多的技術授權金認列外，本月尚有數筆設計授權金因客戶Tapeout延遲將遞延認列所致。</t>
  </si>
  <si>
    <t>擎泰科技</t>
  </si>
  <si>
    <t>係本期產品銷售組合及規格調整，故本期營業收入增加。</t>
  </si>
  <si>
    <t>逸昌科技</t>
  </si>
  <si>
    <t>博磊科技</t>
  </si>
  <si>
    <t>德微科技</t>
  </si>
  <si>
    <t>家登精密</t>
  </si>
  <si>
    <t>漢磊控於103.10成立</t>
  </si>
  <si>
    <t>廣穎電通</t>
  </si>
  <si>
    <t>信驊科技</t>
  </si>
  <si>
    <t>世紀民生</t>
  </si>
  <si>
    <t>立衛科技</t>
  </si>
  <si>
    <t>鈺創科技</t>
  </si>
  <si>
    <t>本月營業收入及本年累計營業收入因測試收入減少，故與去年同期相比較減少幅度均超過50%。</t>
  </si>
  <si>
    <t>中美矽晶</t>
  </si>
  <si>
    <t>合邦電子</t>
  </si>
  <si>
    <t>本年度9月新增電腦周邊商品50,768仟元。</t>
  </si>
  <si>
    <t>創惟科技</t>
  </si>
  <si>
    <t>茂達電子</t>
  </si>
  <si>
    <t>頎邦科技</t>
  </si>
  <si>
    <t>凌泰科技</t>
  </si>
  <si>
    <t>本月營收增加額達50%以上係因本月客戶訂單量上升</t>
  </si>
  <si>
    <t>元隆電子</t>
  </si>
  <si>
    <t>紘康科技</t>
  </si>
  <si>
    <t>環球晶圓</t>
  </si>
  <si>
    <t>九暘電子</t>
  </si>
  <si>
    <t>誠遠科技</t>
  </si>
  <si>
    <t>宏捷科技</t>
  </si>
  <si>
    <t>因市場需求及客戶訂單增加</t>
  </si>
  <si>
    <t>商丞科技</t>
  </si>
  <si>
    <t>IC價格持續下跌,市況不佳</t>
  </si>
  <si>
    <t>協禧電機</t>
  </si>
  <si>
    <t>信億科技</t>
  </si>
  <si>
    <t>本年增減百分比達50%以上，係因本年度智慧型手機出貨增加。</t>
  </si>
  <si>
    <t>順達科</t>
  </si>
  <si>
    <t>茂訊電腦</t>
  </si>
  <si>
    <t>本月外銷營業淨收入42,799仟元</t>
  </si>
  <si>
    <t>廣寰</t>
  </si>
  <si>
    <t>旭品科技</t>
  </si>
  <si>
    <t>安勤科技</t>
  </si>
  <si>
    <t>本月營收較去年本月營收增加係因今年有個案完工銷售認列收入44,494仟元</t>
  </si>
  <si>
    <t>曜越科技</t>
  </si>
  <si>
    <t>泓格科技</t>
  </si>
  <si>
    <t>本年增幅大於50%係因為接獲新興市場客戶建置資料中心訂單</t>
  </si>
  <si>
    <t>宜鼎國際</t>
  </si>
  <si>
    <t>協益電子</t>
  </si>
  <si>
    <t>青雲國際</t>
  </si>
  <si>
    <t>年度累計成長約143%，係記憶體產品成長95%及板卡產品成長351%</t>
  </si>
  <si>
    <t>東友科技</t>
  </si>
  <si>
    <t>關係人順逆流交易業已沖銷</t>
  </si>
  <si>
    <t>產品銷量增加</t>
  </si>
  <si>
    <t>Apply Pay問世後，帶動支付產業的發展，故終端設備需求較去年明顯增加。</t>
  </si>
  <si>
    <t>瑞傳科技</t>
  </si>
  <si>
    <t>上奇科技</t>
  </si>
  <si>
    <t>撼訊科技</t>
  </si>
  <si>
    <t>欣技資訊</t>
  </si>
  <si>
    <t>廣明光電</t>
  </si>
  <si>
    <t>上揚科技</t>
  </si>
  <si>
    <t>客戶訂單減少</t>
  </si>
  <si>
    <t>全譜科技</t>
  </si>
  <si>
    <t>配合客戶指定交期.主要客戶本月需求較去年同期增加</t>
  </si>
  <si>
    <t>崴強科技</t>
  </si>
  <si>
    <t>廣積科技</t>
  </si>
  <si>
    <t>伍豐科技</t>
  </si>
  <si>
    <t>群聯電子</t>
  </si>
  <si>
    <t>李洲科技</t>
  </si>
  <si>
    <t>昇銳電子</t>
  </si>
  <si>
    <t>錦明實</t>
  </si>
  <si>
    <t>泰谷光電</t>
  </si>
  <si>
    <t>先進光電</t>
  </si>
  <si>
    <t>因通過新客戶認證，相關產品於Q2起順利導入量產上市</t>
  </si>
  <si>
    <t>聯一光學</t>
  </si>
  <si>
    <t>益通光能</t>
  </si>
  <si>
    <t>本年累計營收較去年同期成長原因為本公司光電部門之日本家戶太陽能安裝工程及面板之銷售</t>
  </si>
  <si>
    <t>迎輝科技</t>
  </si>
  <si>
    <t>大陸內需市場需求偏弱，連帶影響整體出貨。</t>
  </si>
  <si>
    <t>先益電子</t>
  </si>
  <si>
    <t>2015年因匯率波動並大陸有因應歐洲雙反對策及考量整合大境之因素，故公司今年之訂單相較去年為低。</t>
  </si>
  <si>
    <t>安可光電</t>
  </si>
  <si>
    <t>卓韋光電</t>
  </si>
  <si>
    <t>銀漿出貨量增加</t>
  </si>
  <si>
    <t>揚華</t>
  </si>
  <si>
    <t>主要係因客戶延遲進貨</t>
  </si>
  <si>
    <t>本集團104年7月9日處份深圳巿聯懋塑膠有限公司股權，故自7月起該公司營收不再列入本集團中。</t>
  </si>
  <si>
    <t>兆遠科技</t>
  </si>
  <si>
    <t>104年1至9月營業收入係本公司新轉投資公司以銷售刀具為主業之營業收入，與103年1至9月為不同營業收入項目</t>
  </si>
  <si>
    <t>湯石照明</t>
  </si>
  <si>
    <t>晶達光電</t>
  </si>
  <si>
    <t>本月營收較去年同期增加57.02%，係因PMOLED之市場應用需求增加。</t>
  </si>
  <si>
    <t>光聯科技</t>
  </si>
  <si>
    <t>應華精密</t>
  </si>
  <si>
    <t>本月增減百分比或本年增減百分比達50％以上因104/3/31取得Daiichi kasie 75%股權,合併該公司營收所致</t>
  </si>
  <si>
    <t>達威光電</t>
  </si>
  <si>
    <t>久正光電</t>
  </si>
  <si>
    <t>*因對子公司久禾光電改採權益法認列，故合併主體自103年12月起變更為:香港久正，美國久正，久正SAMOA!</t>
  </si>
  <si>
    <t>本月合併營收淨額較去年同月增加64%，主要係因104年6月1日合併聯景光電之後營收增加挹注。</t>
  </si>
  <si>
    <t>晶采光電</t>
  </si>
  <si>
    <t>巨擘科技</t>
  </si>
  <si>
    <t>元太科技</t>
  </si>
  <si>
    <t>本公司因背光模組業務長期虧損，於去年同期陸續縮編，同年致力轉型汽車零組件產業，本期汽車零組件業務已佔整體營收達100%。</t>
  </si>
  <si>
    <t>立碁電子</t>
  </si>
  <si>
    <t>本月營業收入淨額較8月份高，係銷售單價提升及增加客戶之銷售通路所致。</t>
  </si>
  <si>
    <t>聯亞光電</t>
  </si>
  <si>
    <t>磊晶片銷售成長</t>
  </si>
  <si>
    <t>璟德電子</t>
  </si>
  <si>
    <t>台灣嘉碩</t>
  </si>
  <si>
    <t>光通訊產業需求提升</t>
  </si>
  <si>
    <t>東浦精密</t>
  </si>
  <si>
    <t>鼎天國際</t>
  </si>
  <si>
    <t>長天科技</t>
  </si>
  <si>
    <t>昇達科技</t>
  </si>
  <si>
    <t>截至9月底止營收增加50%以上主要原因為1.產業成長2.舊客戶的新訂單3.新客戶的訂單</t>
  </si>
  <si>
    <t>聯光通信</t>
  </si>
  <si>
    <t>台聯電訊</t>
  </si>
  <si>
    <t>前鼎光電</t>
  </si>
  <si>
    <t>系通科技</t>
  </si>
  <si>
    <t>台林電通</t>
  </si>
  <si>
    <t>亞元科技</t>
  </si>
  <si>
    <t>本月因部分案件未達交貨驗收期限，故未能認列相關營收</t>
  </si>
  <si>
    <t>豪勉科技</t>
  </si>
  <si>
    <t>客戶訂單減少，造成營收下滑</t>
  </si>
  <si>
    <t>立端科技</t>
  </si>
  <si>
    <t>普萊德科</t>
  </si>
  <si>
    <t>韋僑</t>
  </si>
  <si>
    <t>榮群電訊</t>
  </si>
  <si>
    <t>德勝科技</t>
  </si>
  <si>
    <t>接單成長</t>
  </si>
  <si>
    <t>凱碩科技</t>
  </si>
  <si>
    <t>近期市場受諸多金融/經濟議題紛擾，引發全球經貿疑慮/需求放緩，致原定出貨之客戶希能遞延交期，營收表現因此會有短期影響。</t>
  </si>
  <si>
    <t>去年同期營收238仟元係為投資愛打卡劇利潤.</t>
  </si>
  <si>
    <t>常珵科技</t>
  </si>
  <si>
    <t>主要是其他電子零組件銷售增加4367千元所致</t>
  </si>
  <si>
    <t>天宇工業</t>
  </si>
  <si>
    <t>川寶科技</t>
  </si>
  <si>
    <t>富喬工業</t>
  </si>
  <si>
    <t>僑威科技</t>
  </si>
  <si>
    <t>LED價格問題</t>
  </si>
  <si>
    <t>好德科技</t>
  </si>
  <si>
    <t>營收增加</t>
  </si>
  <si>
    <t>樺晟電子</t>
  </si>
  <si>
    <t>志豐電子</t>
  </si>
  <si>
    <t>優群科技</t>
  </si>
  <si>
    <t>佳穎精密</t>
  </si>
  <si>
    <t>建舜電子</t>
  </si>
  <si>
    <t>律勝科技</t>
  </si>
  <si>
    <t>祥業科技</t>
  </si>
  <si>
    <t>市場需求飽和，造成明顯衰退幅度</t>
  </si>
  <si>
    <t>長盛科技</t>
  </si>
  <si>
    <t>矽瑪科技</t>
  </si>
  <si>
    <t>穿戴式產品訂單增加</t>
  </si>
  <si>
    <t>智慧型手機零組件出貨大幅提升所致.</t>
  </si>
  <si>
    <t>振維電子</t>
  </si>
  <si>
    <t>凡甲科技</t>
  </si>
  <si>
    <t>自結數尚未經會計師查核簽證及核閱，特此說明。</t>
  </si>
  <si>
    <t>湧德電子</t>
  </si>
  <si>
    <t>系統電子</t>
  </si>
  <si>
    <t>友銓電子</t>
  </si>
  <si>
    <t>華容公司</t>
  </si>
  <si>
    <t>建榮工業</t>
  </si>
  <si>
    <t>先豐通訊</t>
  </si>
  <si>
    <t>同協電子</t>
  </si>
  <si>
    <t>霖宏科技</t>
  </si>
  <si>
    <t>德宏工業</t>
  </si>
  <si>
    <t>華韡電子</t>
  </si>
  <si>
    <t>衰退原因係本公司生產之銅箔基板是屬於硬板，目前市場對於電子產品的需求皆輕、薄，故本公之產品需求量減少。</t>
  </si>
  <si>
    <t>松普科技</t>
  </si>
  <si>
    <t>連展科技</t>
  </si>
  <si>
    <t>凱崴電子</t>
  </si>
  <si>
    <t>華美電子</t>
  </si>
  <si>
    <t>由於2014年第4季，本公司併購久鋐電子，並納入合併報表編製，故合併營收較去年同期增加</t>
  </si>
  <si>
    <t>業強科技</t>
  </si>
  <si>
    <t>信音企業</t>
  </si>
  <si>
    <t>九豪精密</t>
  </si>
  <si>
    <t>以上資訊係屬初步自行結算完成，未經會計師簽證或核閱</t>
  </si>
  <si>
    <t>松上電子</t>
  </si>
  <si>
    <t>信昌電陶</t>
  </si>
  <si>
    <t>安碁科技</t>
  </si>
  <si>
    <t>幃翔精密</t>
  </si>
  <si>
    <t>育富電子</t>
  </si>
  <si>
    <t>因PC產業生產及需求呈現衰退造成客戶訂單減少，以致於本公司營收衰退</t>
  </si>
  <si>
    <t>艾華電子</t>
  </si>
  <si>
    <t>日揚科技</t>
  </si>
  <si>
    <t>慶生電子</t>
  </si>
  <si>
    <t>福登精密</t>
  </si>
  <si>
    <t>中國探針</t>
  </si>
  <si>
    <t>自103年8月起引進觀光工廠銷售新業務取代舊的電子產品銷售業務</t>
  </si>
  <si>
    <t>係FLASH營運結束,金屬類交期遞延,致本月營收銳減</t>
  </si>
  <si>
    <t>泰詠電子</t>
  </si>
  <si>
    <t>佳邦科技</t>
  </si>
  <si>
    <t>良維科技</t>
  </si>
  <si>
    <t>迅德興業</t>
  </si>
  <si>
    <t>今展科技</t>
  </si>
  <si>
    <t>主要因產品銷售模式改變導致增減變動，新產品市場正積極開發</t>
  </si>
  <si>
    <t>鉅橡企業</t>
  </si>
  <si>
    <t>翔名科技</t>
  </si>
  <si>
    <t>主因合併營收增加子公司寶虹營收</t>
  </si>
  <si>
    <t>保銳科技</t>
  </si>
  <si>
    <t>博大科技</t>
  </si>
  <si>
    <t>越峰電子</t>
  </si>
  <si>
    <t>正淩精工</t>
  </si>
  <si>
    <t>博智電子</t>
  </si>
  <si>
    <t>加高電子</t>
  </si>
  <si>
    <t>英格爾科</t>
  </si>
  <si>
    <t>泰藝電子</t>
  </si>
  <si>
    <t>尚茂電子</t>
  </si>
  <si>
    <t>金居開發</t>
  </si>
  <si>
    <t>去年同期有同業向本公司調貨，惟本期無此情形。</t>
  </si>
  <si>
    <t>利機企業</t>
  </si>
  <si>
    <t>安馳科技</t>
  </si>
  <si>
    <t>亞矽科技</t>
  </si>
  <si>
    <t>建達國際</t>
  </si>
  <si>
    <t>佳營</t>
  </si>
  <si>
    <t>主係客戶訂單驟減</t>
  </si>
  <si>
    <t>本年累計營收較去年增加係因今年有個案完工銷售認列收入</t>
  </si>
  <si>
    <t>業務拓展使營業收入較前期增加。</t>
  </si>
  <si>
    <t>倍微科技</t>
  </si>
  <si>
    <t>光菱電子</t>
  </si>
  <si>
    <t>註：本月(年)新台幣(累計)營業收入淨額=本月(年)功能性貨幣(累計)營業收入淨額x本月(年累計)換算匯率</t>
  </si>
  <si>
    <t>志旭國際</t>
  </si>
  <si>
    <t>巨虹電子</t>
  </si>
  <si>
    <t>本公司之孫公司擎亞(香港)營收較上期月增成長257%，年增成長285%。</t>
  </si>
  <si>
    <t>大塚資訊</t>
  </si>
  <si>
    <t>緯創軟體</t>
  </si>
  <si>
    <t>凱衛資訊</t>
  </si>
  <si>
    <t>力新國際</t>
  </si>
  <si>
    <t>凌網科技</t>
  </si>
  <si>
    <t>天剛資訊</t>
  </si>
  <si>
    <t>中菲電腦</t>
  </si>
  <si>
    <t>國眾電腦</t>
  </si>
  <si>
    <t>訊達電腦</t>
  </si>
  <si>
    <t>松崗資產</t>
  </si>
  <si>
    <t>網路家庭</t>
  </si>
  <si>
    <t>大同世界</t>
  </si>
  <si>
    <t>主要係LBMA黃金鑄錠出貨增加</t>
  </si>
  <si>
    <t>宜特科技</t>
  </si>
  <si>
    <t>雙鴻科技</t>
  </si>
  <si>
    <t>漢科系統</t>
  </si>
  <si>
    <t>陽程科技</t>
  </si>
  <si>
    <t>本月完工可認列營收之設備較多</t>
  </si>
  <si>
    <t>西柏科技</t>
  </si>
  <si>
    <t>去年同期,為使比較基礎一致,已計入新增合併個體之營業收入。</t>
  </si>
  <si>
    <t>友威科技</t>
  </si>
  <si>
    <t>閎康科技</t>
  </si>
  <si>
    <t>盈正豫順</t>
  </si>
  <si>
    <t>駿熠電子</t>
  </si>
  <si>
    <t>鑫科材料</t>
  </si>
  <si>
    <t>1自行研發生技產品自6月份起陸續銷售2本年度新增西藥醫美產品批發3公司轉型生技，結束電子遊戲及拆帳業務</t>
  </si>
  <si>
    <t>漢康科技</t>
  </si>
  <si>
    <t>變動原因主係業務萎縮所致</t>
  </si>
  <si>
    <t>金利精密</t>
  </si>
  <si>
    <t>彩富電子</t>
  </si>
  <si>
    <t>三聯科技</t>
  </si>
  <si>
    <t>本月營收較去年同期增加50.67%，主係子公司銷貨收入增加新台幣2.2億元所致。</t>
  </si>
  <si>
    <t>晉倫科技</t>
  </si>
  <si>
    <t>萬潤科技</t>
  </si>
  <si>
    <t>較去年同期營收增加主因:合併勝開科技(股)封測事業之營收</t>
  </si>
  <si>
    <t>有部分業績為上個月遲延出貨及每年本公司9月訂單量皆達當年度最高峰</t>
  </si>
  <si>
    <t>元山科技</t>
  </si>
  <si>
    <t>建暐精密</t>
  </si>
  <si>
    <t>台灣精星</t>
  </si>
  <si>
    <t>大園汽電</t>
  </si>
  <si>
    <t>綠意開發</t>
  </si>
  <si>
    <t>因本公司在建個案「綠意皇邑」尚未完工入帳,致104年9月單月及截至104年9月累計營收均較103年同期減少</t>
  </si>
  <si>
    <t>104年9月及累計營收較去年減少係可供銷售戶數減少，新建案尚未完工所致。</t>
  </si>
  <si>
    <t>去年同期因建案完工交屋，並依全部完工法認列營業收入，本月僅認列租金收入，致使當月份營收較去年同期衰退。</t>
  </si>
  <si>
    <t>本月增減百分比或本年增減百分比達50％以上者，係第三季認列公設景觀工程收入所致</t>
  </si>
  <si>
    <t>本月由於「君山」陸續交屋認列收入，故使本月較去年同期增加。</t>
  </si>
  <si>
    <t>亞昕國際</t>
  </si>
  <si>
    <t>本公司上半年有二個建案完工結轉，去年度僅於年底一個建案完工結轉</t>
  </si>
  <si>
    <t>永信建設</t>
  </si>
  <si>
    <t>因103年1-9月有兩個新案完工，104年1-9月僅有一新案完工，新案完工會於當期入帳金額較多，故104年營收較少</t>
  </si>
  <si>
    <t>德昌營造</t>
  </si>
  <si>
    <t>係因去年已預售之個案-力麒麒御於去年始達完工交屋，逐戶認列損益，而今年截至本月止未有建案可供認列，使今年營收較去年減少。</t>
  </si>
  <si>
    <t>三豐建設</t>
  </si>
  <si>
    <t>本年度截至目前為止沒有交屋認列，僅認列租金收入，致使當月份營收暨累積營收較去年同期衰退。</t>
  </si>
  <si>
    <t>雙喜營造</t>
  </si>
  <si>
    <t>本月增加111.66%主系新工案陸續投入成本</t>
  </si>
  <si>
    <t>力泰建設</t>
  </si>
  <si>
    <t>主要係去年銷售成屋完成過戶予以認列營收所致</t>
  </si>
  <si>
    <t>志嘉建設</t>
  </si>
  <si>
    <t>因去年同期認列大無限1戶，本月僅認列租金收入所致</t>
  </si>
  <si>
    <t>認列建案營收</t>
  </si>
  <si>
    <t>建案完工認列收入</t>
  </si>
  <si>
    <t>富旺國際</t>
  </si>
  <si>
    <t>本月建案完工入帳、且餘屋仍陸續處分入帳，以至本月營業收入與去年同期相較產生較大差異</t>
  </si>
  <si>
    <t>無</t>
  </si>
  <si>
    <t>台驊投控</t>
  </si>
  <si>
    <t>正德海運</t>
  </si>
  <si>
    <t>臺聯貨櫃</t>
  </si>
  <si>
    <t>瓦城泰統</t>
  </si>
  <si>
    <t>圓方創新</t>
  </si>
  <si>
    <t>本公司於103年11月增加2家子公司,所增加之營收</t>
  </si>
  <si>
    <t>亞都麗緻</t>
  </si>
  <si>
    <t>知本老爺</t>
  </si>
  <si>
    <t>日盛金控</t>
  </si>
  <si>
    <t>宏遠證券</t>
  </si>
  <si>
    <t>本期因持有部位產生評價利益較前期增加所致。</t>
  </si>
  <si>
    <t>康和證券</t>
  </si>
  <si>
    <t>本月增減達50%，主係營業證券出售及評價利益較去年同月增加所致。</t>
  </si>
  <si>
    <t>營業證券透過損益按公允價值衡量之淨損失較上年累計減少</t>
  </si>
  <si>
    <t>本月營業證券評價利益較去年同期回升約4,596萬元</t>
  </si>
  <si>
    <t>大眾證券</t>
  </si>
  <si>
    <t>元大期貨</t>
  </si>
  <si>
    <t>滿心企業</t>
  </si>
  <si>
    <t>全家便利</t>
  </si>
  <si>
    <t>精剛精密</t>
  </si>
  <si>
    <t>大甲永和</t>
  </si>
  <si>
    <t>本公司相關工程案訂單持續出貨所致</t>
  </si>
  <si>
    <t>因本公司對中科大飯店(股)公司、新中科事業(股)公司及后豐商務會館(股)公司失去控制力，故不列入合併營收</t>
  </si>
  <si>
    <t>耀億工業</t>
  </si>
  <si>
    <t>晟田科技</t>
  </si>
  <si>
    <t>主要係本公司103年度甫跨足能源工程相關業務，去年同期比較基期較低所致。</t>
  </si>
  <si>
    <t>本月增減百分比達50%以上，主要係因子公司營收減少。</t>
  </si>
  <si>
    <t>主係函授業績成長</t>
  </si>
  <si>
    <t>崑鼎投控</t>
  </si>
  <si>
    <t>白紗科技</t>
  </si>
  <si>
    <t>裕國冷凍</t>
  </si>
  <si>
    <t>去年同期因營建案完工入帳,故差異達50%以上</t>
  </si>
  <si>
    <t>花王企業</t>
  </si>
  <si>
    <t>沈氏藝印</t>
  </si>
  <si>
    <t>大田精密</t>
  </si>
  <si>
    <t>九月營收增加原因：去年八月份為當年度營收谷底，九月份仍在淡季，今年淡季提前至六、七月份，八、九月份已進入新產品量產。</t>
  </si>
  <si>
    <t>宏大拉鍊</t>
  </si>
  <si>
    <t>新車種年接獲新客戶訂單</t>
  </si>
  <si>
    <t>泰偉電子</t>
  </si>
  <si>
    <t>機台訂單出貨較去年同期增加</t>
  </si>
  <si>
    <t>中華網龍</t>
  </si>
  <si>
    <t>華義國際</t>
  </si>
  <si>
    <t>鈊象電子</t>
  </si>
  <si>
    <t>宇峻奧汀</t>
  </si>
  <si>
    <t>手遊營收及第三方支付業務營收增加所致</t>
  </si>
  <si>
    <t>紅心辣椒</t>
  </si>
  <si>
    <t>智崴資訊</t>
  </si>
  <si>
    <t>月營收差異說明：本月各專案完工進度較去年同期增加</t>
  </si>
  <si>
    <t>軒轅劍手遊</t>
  </si>
  <si>
    <t>得利影視</t>
  </si>
  <si>
    <t>昱泉國際</t>
  </si>
  <si>
    <t>遊戲橘子</t>
  </si>
  <si>
    <t>華研音樂</t>
  </si>
  <si>
    <t>本月於高雄巨蛋自辦一場田馥甄[如果]演唱會(營收25,644仟元)，去年本月無自辦演唱會</t>
  </si>
  <si>
    <t>時報文化</t>
  </si>
  <si>
    <t>主要係力麗觀光飯店收入增加且投資杭州湖邊邨酒店、天鷹旅行社及力麗明池，子公司營收併入合併收入所致。</t>
  </si>
  <si>
    <t>天品聯合</t>
  </si>
  <si>
    <t>104_9</t>
    <phoneticPr fontId="2" type="noConversion"/>
  </si>
  <si>
    <t>洛碁實業</t>
  </si>
  <si>
    <t>PSR</t>
    <phoneticPr fontId="23" type="noConversion"/>
  </si>
  <si>
    <t>單位：仟元</t>
  </si>
  <si>
    <t>年/月</t>
  </si>
  <si>
    <t>月增率</t>
  </si>
  <si>
    <t>去年同期</t>
  </si>
  <si>
    <t>年增率</t>
  </si>
  <si>
    <t>累計營收</t>
  </si>
  <si>
    <t>104/09</t>
  </si>
  <si>
    <t>104/08</t>
  </si>
  <si>
    <t>104/07</t>
  </si>
  <si>
    <t>104/06</t>
  </si>
  <si>
    <t>104/05</t>
  </si>
  <si>
    <t>104/04</t>
  </si>
  <si>
    <t>104/03</t>
  </si>
  <si>
    <t>104/02</t>
  </si>
  <si>
    <t>104/01</t>
  </si>
  <si>
    <t>103/12</t>
  </si>
  <si>
    <t>103/11</t>
  </si>
  <si>
    <t>103/10</t>
  </si>
  <si>
    <t>103/09</t>
  </si>
  <si>
    <t>103/08</t>
  </si>
  <si>
    <t>103/07</t>
  </si>
  <si>
    <t>103/06</t>
  </si>
  <si>
    <t>103/05</t>
  </si>
  <si>
    <t>103/04</t>
  </si>
  <si>
    <t>103/03</t>
  </si>
  <si>
    <t>103/02</t>
  </si>
  <si>
    <t>103/01</t>
  </si>
  <si>
    <t>102/12</t>
  </si>
  <si>
    <t>102/11</t>
  </si>
  <si>
    <t>102/10</t>
  </si>
  <si>
    <t>102/09</t>
  </si>
  <si>
    <t>102/08</t>
  </si>
  <si>
    <t>102/07</t>
  </si>
  <si>
    <t>102/06</t>
  </si>
  <si>
    <t>102/05</t>
  </si>
  <si>
    <t>102/04</t>
  </si>
  <si>
    <t>102/03</t>
  </si>
  <si>
    <t>102/02</t>
  </si>
  <si>
    <t>102/01</t>
  </si>
  <si>
    <t>101/12</t>
  </si>
  <si>
    <t>101/11</t>
  </si>
  <si>
    <t>101/10</t>
  </si>
  <si>
    <t>101/09</t>
  </si>
  <si>
    <t>101/08</t>
  </si>
  <si>
    <t>101/07</t>
  </si>
  <si>
    <t>101/06</t>
  </si>
  <si>
    <t>101/05</t>
  </si>
  <si>
    <t>101/04</t>
  </si>
  <si>
    <t>101/03</t>
  </si>
  <si>
    <t>101/02</t>
  </si>
  <si>
    <t>101/01</t>
  </si>
  <si>
    <t>100/12</t>
  </si>
  <si>
    <t>100/11</t>
  </si>
  <si>
    <t>100/10</t>
  </si>
  <si>
    <t>說明：自2013年起上市櫃公司因IFRSs會計準則規範，每月公告的營收必須是合併營收，不再公告非合併營收。2012年(含)前，合併營收是採自願公告。</t>
  </si>
  <si>
    <t>PSR</t>
    <phoneticPr fontId="2" type="noConversion"/>
  </si>
  <si>
    <t>合計</t>
    <phoneticPr fontId="2" type="noConversion"/>
  </si>
  <si>
    <t>自選</t>
    <phoneticPr fontId="2" type="noConversion"/>
  </si>
  <si>
    <t>小</t>
    <phoneticPr fontId="23" type="noConversion"/>
  </si>
  <si>
    <t>中</t>
    <phoneticPr fontId="23" type="noConversion"/>
  </si>
  <si>
    <t>大</t>
    <phoneticPr fontId="23" type="noConversion"/>
  </si>
  <si>
    <t>營收C</t>
  </si>
  <si>
    <t xml:space="preserve">有益(9962) </t>
  </si>
  <si>
    <t>有益(9962) 年度營收走勢圖</t>
  </si>
  <si>
    <t>有益(9962)月營收明細</t>
  </si>
  <si>
    <t xml:space="preserve"> 普通股股本</t>
    <phoneticPr fontId="2" type="noConversion"/>
  </si>
  <si>
    <t>每股營業現金</t>
    <phoneticPr fontId="2" type="noConversion"/>
  </si>
  <si>
    <t>每股營業額</t>
    <phoneticPr fontId="2" type="noConversion"/>
  </si>
  <si>
    <t xml:space="preserve">台泥            </t>
  </si>
  <si>
    <t xml:space="preserve">亞泥            </t>
  </si>
  <si>
    <t xml:space="preserve">嘉泥            </t>
  </si>
  <si>
    <t xml:space="preserve">環泥            </t>
  </si>
  <si>
    <t xml:space="preserve">幸福            </t>
  </si>
  <si>
    <t xml:space="preserve">東泥            </t>
  </si>
  <si>
    <t xml:space="preserve">味全            </t>
  </si>
  <si>
    <t xml:space="preserve">味王            </t>
  </si>
  <si>
    <t xml:space="preserve">大成            </t>
  </si>
  <si>
    <t xml:space="preserve">大飲            </t>
  </si>
  <si>
    <t xml:space="preserve">卜蜂            </t>
  </si>
  <si>
    <t xml:space="preserve">統一            </t>
  </si>
  <si>
    <t xml:space="preserve">愛之味          </t>
  </si>
  <si>
    <t xml:space="preserve">泰山            </t>
  </si>
  <si>
    <t xml:space="preserve">福壽            </t>
  </si>
  <si>
    <t xml:space="preserve">台榮            </t>
  </si>
  <si>
    <t xml:space="preserve">福懋油          </t>
  </si>
  <si>
    <t xml:space="preserve">佳格            </t>
  </si>
  <si>
    <t xml:space="preserve">聯華            </t>
  </si>
  <si>
    <t xml:space="preserve">聯華食          </t>
  </si>
  <si>
    <t xml:space="preserve">大統益          </t>
  </si>
  <si>
    <t xml:space="preserve">天仁            </t>
  </si>
  <si>
    <t xml:space="preserve">黑松            </t>
  </si>
  <si>
    <t xml:space="preserve">興泰            </t>
  </si>
  <si>
    <t xml:space="preserve">宏亞            </t>
  </si>
  <si>
    <t xml:space="preserve">F-綠悅          </t>
  </si>
  <si>
    <t xml:space="preserve">台塑            </t>
  </si>
  <si>
    <t xml:space="preserve">南亞            </t>
  </si>
  <si>
    <t xml:space="preserve">台聚            </t>
  </si>
  <si>
    <t xml:space="preserve">華夏            </t>
  </si>
  <si>
    <t xml:space="preserve">三芳            </t>
  </si>
  <si>
    <t xml:space="preserve">亞聚            </t>
  </si>
  <si>
    <t xml:space="preserve">台達化          </t>
  </si>
  <si>
    <t xml:space="preserve">台苯            </t>
  </si>
  <si>
    <t xml:space="preserve">國喬            </t>
  </si>
  <si>
    <t xml:space="preserve">國喬特          </t>
  </si>
  <si>
    <t xml:space="preserve">聯成            </t>
  </si>
  <si>
    <t xml:space="preserve">中石化          </t>
  </si>
  <si>
    <t xml:space="preserve">達新            </t>
  </si>
  <si>
    <t xml:space="preserve">上曜            </t>
  </si>
  <si>
    <t xml:space="preserve">東陽            </t>
  </si>
  <si>
    <t xml:space="preserve">大洋            </t>
  </si>
  <si>
    <t xml:space="preserve">永裕            </t>
  </si>
  <si>
    <t xml:space="preserve">地球            </t>
  </si>
  <si>
    <t xml:space="preserve">恆大            </t>
  </si>
  <si>
    <t xml:space="preserve">台化            </t>
  </si>
  <si>
    <t xml:space="preserve">F-再生          </t>
  </si>
  <si>
    <t xml:space="preserve">F-廣華          </t>
  </si>
  <si>
    <t xml:space="preserve">昭輝            </t>
  </si>
  <si>
    <t xml:space="preserve">F-勝悅          </t>
  </si>
  <si>
    <t xml:space="preserve">遠東新          </t>
  </si>
  <si>
    <t xml:space="preserve">新纖            </t>
  </si>
  <si>
    <t xml:space="preserve">南染            </t>
  </si>
  <si>
    <t xml:space="preserve">宏洲            </t>
  </si>
  <si>
    <t xml:space="preserve">東和            </t>
  </si>
  <si>
    <t xml:space="preserve">廣豐            </t>
  </si>
  <si>
    <t xml:space="preserve">嘉裕            </t>
  </si>
  <si>
    <t xml:space="preserve">東華            </t>
  </si>
  <si>
    <t xml:space="preserve">新紡            </t>
  </si>
  <si>
    <t xml:space="preserve">利華            </t>
  </si>
  <si>
    <t xml:space="preserve">大魯閣          </t>
  </si>
  <si>
    <t xml:space="preserve">福懋            </t>
  </si>
  <si>
    <t xml:space="preserve">中福            </t>
  </si>
  <si>
    <t xml:space="preserve">華友聯          </t>
  </si>
  <si>
    <t xml:space="preserve">勤益控          </t>
  </si>
  <si>
    <t xml:space="preserve">裕豐            </t>
  </si>
  <si>
    <t xml:space="preserve">中和            </t>
  </si>
  <si>
    <t xml:space="preserve">南紡            </t>
  </si>
  <si>
    <t xml:space="preserve">大東            </t>
  </si>
  <si>
    <t xml:space="preserve">名軒            </t>
  </si>
  <si>
    <t xml:space="preserve">立益            </t>
  </si>
  <si>
    <t xml:space="preserve">力麗            </t>
  </si>
  <si>
    <t xml:space="preserve">大宇            </t>
  </si>
  <si>
    <t xml:space="preserve">宏和            </t>
  </si>
  <si>
    <t xml:space="preserve">力鵬            </t>
  </si>
  <si>
    <t xml:space="preserve">佳和            </t>
  </si>
  <si>
    <t xml:space="preserve">年興            </t>
  </si>
  <si>
    <t xml:space="preserve">宏益            </t>
  </si>
  <si>
    <t xml:space="preserve">大將            </t>
  </si>
  <si>
    <t xml:space="preserve">台富            </t>
  </si>
  <si>
    <t xml:space="preserve">集盛            </t>
  </si>
  <si>
    <t xml:space="preserve">怡華            </t>
  </si>
  <si>
    <t xml:space="preserve">宜進            </t>
  </si>
  <si>
    <t xml:space="preserve">聯發            </t>
  </si>
  <si>
    <t xml:space="preserve">宏遠            </t>
  </si>
  <si>
    <t xml:space="preserve">強盛            </t>
  </si>
  <si>
    <t xml:space="preserve">得力            </t>
  </si>
  <si>
    <t xml:space="preserve">偉全            </t>
  </si>
  <si>
    <t xml:space="preserve">聚隆            </t>
  </si>
  <si>
    <t xml:space="preserve">南緯            </t>
  </si>
  <si>
    <t xml:space="preserve">昶和            </t>
  </si>
  <si>
    <t xml:space="preserve">理隆            </t>
  </si>
  <si>
    <t xml:space="preserve">大統染          </t>
  </si>
  <si>
    <t xml:space="preserve">首利            </t>
  </si>
  <si>
    <t xml:space="preserve">三洋紡          </t>
  </si>
  <si>
    <t xml:space="preserve">台南            </t>
  </si>
  <si>
    <t xml:space="preserve">弘裕            </t>
  </si>
  <si>
    <t xml:space="preserve">本盟            </t>
  </si>
  <si>
    <t xml:space="preserve">儒鴻            </t>
  </si>
  <si>
    <t xml:space="preserve">聚陽            </t>
  </si>
  <si>
    <t xml:space="preserve">士電            </t>
  </si>
  <si>
    <t xml:space="preserve">東元            </t>
  </si>
  <si>
    <t xml:space="preserve">正道            </t>
  </si>
  <si>
    <t xml:space="preserve">永大            </t>
  </si>
  <si>
    <t xml:space="preserve">瑞利            </t>
  </si>
  <si>
    <t xml:space="preserve">中興電          </t>
  </si>
  <si>
    <t xml:space="preserve">亞力            </t>
  </si>
  <si>
    <t xml:space="preserve">力山            </t>
  </si>
  <si>
    <t xml:space="preserve">川飛            </t>
  </si>
  <si>
    <t xml:space="preserve">利奇            </t>
  </si>
  <si>
    <t xml:space="preserve">華城            </t>
  </si>
  <si>
    <t xml:space="preserve">大億            </t>
  </si>
  <si>
    <t xml:space="preserve">堤維西          </t>
  </si>
  <si>
    <t xml:space="preserve">耿鼎            </t>
  </si>
  <si>
    <t xml:space="preserve">江申            </t>
  </si>
  <si>
    <t xml:space="preserve">日馳            </t>
  </si>
  <si>
    <t xml:space="preserve">鑽全            </t>
  </si>
  <si>
    <t xml:space="preserve">恩德            </t>
  </si>
  <si>
    <t xml:space="preserve">樂士            </t>
  </si>
  <si>
    <t xml:space="preserve">亞崴            </t>
  </si>
  <si>
    <t xml:space="preserve">高林股          </t>
  </si>
  <si>
    <t xml:space="preserve">勤美            </t>
  </si>
  <si>
    <t xml:space="preserve">車王電          </t>
  </si>
  <si>
    <t xml:space="preserve">中宇            </t>
  </si>
  <si>
    <t xml:space="preserve">和大            </t>
  </si>
  <si>
    <t xml:space="preserve">廣隆            </t>
  </si>
  <si>
    <t xml:space="preserve">正峰新          </t>
  </si>
  <si>
    <t xml:space="preserve">巨庭            </t>
  </si>
  <si>
    <t xml:space="preserve">喬福            </t>
  </si>
  <si>
    <t xml:space="preserve">錩泰            </t>
  </si>
  <si>
    <t xml:space="preserve">伸興            </t>
  </si>
  <si>
    <t xml:space="preserve">中砂            </t>
  </si>
  <si>
    <t xml:space="preserve">倉佑            </t>
  </si>
  <si>
    <t xml:space="preserve">信錦            </t>
  </si>
  <si>
    <t xml:space="preserve">程泰            </t>
  </si>
  <si>
    <t xml:space="preserve">F-永冠          </t>
  </si>
  <si>
    <t xml:space="preserve">F-亞德          </t>
  </si>
  <si>
    <t xml:space="preserve">F-英瑞          </t>
  </si>
  <si>
    <t xml:space="preserve">華電            </t>
  </si>
  <si>
    <t xml:space="preserve">聲寶            </t>
  </si>
  <si>
    <t xml:space="preserve">華新            </t>
  </si>
  <si>
    <t xml:space="preserve">華榮            </t>
  </si>
  <si>
    <t xml:space="preserve">大亞            </t>
  </si>
  <si>
    <t xml:space="preserve">中電            </t>
  </si>
  <si>
    <t xml:space="preserve">宏泰            </t>
  </si>
  <si>
    <t xml:space="preserve">台一            </t>
  </si>
  <si>
    <t xml:space="preserve">三洋電          </t>
  </si>
  <si>
    <t xml:space="preserve">大山            </t>
  </si>
  <si>
    <t xml:space="preserve">億泰            </t>
  </si>
  <si>
    <t xml:space="preserve">榮星            </t>
  </si>
  <si>
    <t xml:space="preserve">合機            </t>
  </si>
  <si>
    <t xml:space="preserve">F-艾美          </t>
  </si>
  <si>
    <t xml:space="preserve">中化            </t>
  </si>
  <si>
    <t xml:space="preserve">南僑            </t>
  </si>
  <si>
    <t xml:space="preserve">榮化            </t>
  </si>
  <si>
    <t xml:space="preserve">葡萄王          </t>
  </si>
  <si>
    <t xml:space="preserve">東鹼            </t>
  </si>
  <si>
    <t xml:space="preserve">和益            </t>
  </si>
  <si>
    <t xml:space="preserve">東聯            </t>
  </si>
  <si>
    <t xml:space="preserve">永光            </t>
  </si>
  <si>
    <t xml:space="preserve">興農            </t>
  </si>
  <si>
    <t xml:space="preserve">國化            </t>
  </si>
  <si>
    <t xml:space="preserve">和桐            </t>
  </si>
  <si>
    <t xml:space="preserve">萬洲            </t>
  </si>
  <si>
    <t xml:space="preserve">長興            </t>
  </si>
  <si>
    <t xml:space="preserve">中纖            </t>
  </si>
  <si>
    <t xml:space="preserve">生達            </t>
  </si>
  <si>
    <t xml:space="preserve">三晃            </t>
  </si>
  <si>
    <t xml:space="preserve">台肥            </t>
  </si>
  <si>
    <t xml:space="preserve">中碳            </t>
  </si>
  <si>
    <t xml:space="preserve">台硝            </t>
  </si>
  <si>
    <t xml:space="preserve">元禎            </t>
  </si>
  <si>
    <t xml:space="preserve">永記            </t>
  </si>
  <si>
    <t xml:space="preserve">中華化          </t>
  </si>
  <si>
    <t xml:space="preserve">必翔            </t>
  </si>
  <si>
    <t xml:space="preserve">花仙子          </t>
  </si>
  <si>
    <t xml:space="preserve">美吾華          </t>
  </si>
  <si>
    <t xml:space="preserve">毛寶            </t>
  </si>
  <si>
    <t xml:space="preserve">五鼎            </t>
  </si>
  <si>
    <t xml:space="preserve">杏輝            </t>
  </si>
  <si>
    <t xml:space="preserve">日勝化          </t>
  </si>
  <si>
    <t xml:space="preserve">喬山            </t>
  </si>
  <si>
    <t xml:space="preserve">臺鹽            </t>
  </si>
  <si>
    <t xml:space="preserve">中化生          </t>
  </si>
  <si>
    <t xml:space="preserve">勝一            </t>
  </si>
  <si>
    <t xml:space="preserve">和康生          </t>
  </si>
  <si>
    <t xml:space="preserve">科妍            </t>
  </si>
  <si>
    <t xml:space="preserve">神隆            </t>
  </si>
  <si>
    <t xml:space="preserve">台玻            </t>
  </si>
  <si>
    <t xml:space="preserve">寶徠            </t>
  </si>
  <si>
    <t xml:space="preserve">冠軍            </t>
  </si>
  <si>
    <t xml:space="preserve">潤隆            </t>
  </si>
  <si>
    <t xml:space="preserve">中釉            </t>
  </si>
  <si>
    <t xml:space="preserve">和成            </t>
  </si>
  <si>
    <t xml:space="preserve">凱撒衛          </t>
  </si>
  <si>
    <t xml:space="preserve">台紙            </t>
  </si>
  <si>
    <t xml:space="preserve">士紙            </t>
  </si>
  <si>
    <t xml:space="preserve">正隆            </t>
  </si>
  <si>
    <t xml:space="preserve">寶隆            </t>
  </si>
  <si>
    <t xml:space="preserve">永豐餘          </t>
  </si>
  <si>
    <t xml:space="preserve">榮成            </t>
  </si>
  <si>
    <t xml:space="preserve">中鋼            </t>
  </si>
  <si>
    <t xml:space="preserve">中鋼特          </t>
  </si>
  <si>
    <t xml:space="preserve">東鋼            </t>
  </si>
  <si>
    <t xml:space="preserve">燁興            </t>
  </si>
  <si>
    <t xml:space="preserve">高興昌          </t>
  </si>
  <si>
    <t xml:space="preserve">第一銅          </t>
  </si>
  <si>
    <t xml:space="preserve">春源            </t>
  </si>
  <si>
    <t xml:space="preserve">春雨            </t>
  </si>
  <si>
    <t xml:space="preserve">中鋼構          </t>
  </si>
  <si>
    <t xml:space="preserve">中鴻            </t>
  </si>
  <si>
    <t xml:space="preserve">豐興            </t>
  </si>
  <si>
    <t xml:space="preserve">官田鋼          </t>
  </si>
  <si>
    <t xml:space="preserve">美亞            </t>
  </si>
  <si>
    <t xml:space="preserve">聚亨            </t>
  </si>
  <si>
    <t xml:space="preserve">燁輝            </t>
  </si>
  <si>
    <t xml:space="preserve">志聯            </t>
  </si>
  <si>
    <t xml:space="preserve">千興            </t>
  </si>
  <si>
    <t xml:space="preserve">大成鋼          </t>
  </si>
  <si>
    <t xml:space="preserve">威致            </t>
  </si>
  <si>
    <t xml:space="preserve">盛餘            </t>
  </si>
  <si>
    <t xml:space="preserve">彰源            </t>
  </si>
  <si>
    <t xml:space="preserve">新光鋼          </t>
  </si>
  <si>
    <t xml:space="preserve">新鋼            </t>
  </si>
  <si>
    <t xml:space="preserve">佳大            </t>
  </si>
  <si>
    <t xml:space="preserve">允強            </t>
  </si>
  <si>
    <t xml:space="preserve">海光            </t>
  </si>
  <si>
    <t xml:space="preserve">上銀            </t>
  </si>
  <si>
    <t xml:space="preserve">川湖            </t>
  </si>
  <si>
    <t xml:space="preserve">橋椿            </t>
  </si>
  <si>
    <t xml:space="preserve">南港            </t>
  </si>
  <si>
    <t xml:space="preserve">泰豐            </t>
  </si>
  <si>
    <t xml:space="preserve">台橡            </t>
  </si>
  <si>
    <t xml:space="preserve">中橡            </t>
  </si>
  <si>
    <t xml:space="preserve">正新            </t>
  </si>
  <si>
    <t xml:space="preserve">建大            </t>
  </si>
  <si>
    <t xml:space="preserve">厚生            </t>
  </si>
  <si>
    <t xml:space="preserve">南帝            </t>
  </si>
  <si>
    <t xml:space="preserve">華豐            </t>
  </si>
  <si>
    <t xml:space="preserve">鑫永銓          </t>
  </si>
  <si>
    <t xml:space="preserve">F-六暉          </t>
  </si>
  <si>
    <t xml:space="preserve">裕隆            </t>
  </si>
  <si>
    <t xml:space="preserve">中華            </t>
  </si>
  <si>
    <t xml:space="preserve">三陽            </t>
  </si>
  <si>
    <t xml:space="preserve">和泰車          </t>
  </si>
  <si>
    <t xml:space="preserve">台船            </t>
  </si>
  <si>
    <t xml:space="preserve">裕日車          </t>
  </si>
  <si>
    <t xml:space="preserve">劍麟            </t>
  </si>
  <si>
    <t xml:space="preserve">為升            </t>
  </si>
  <si>
    <t xml:space="preserve">F-百達          </t>
  </si>
  <si>
    <t xml:space="preserve">光寶科          </t>
  </si>
  <si>
    <t xml:space="preserve">麗正            </t>
  </si>
  <si>
    <t xml:space="preserve">聯電            </t>
  </si>
  <si>
    <t xml:space="preserve">全友            </t>
  </si>
  <si>
    <t xml:space="preserve">台達電          </t>
  </si>
  <si>
    <t xml:space="preserve">日月光          </t>
  </si>
  <si>
    <t xml:space="preserve">金寶            </t>
  </si>
  <si>
    <t xml:space="preserve">華通            </t>
  </si>
  <si>
    <t xml:space="preserve">台揚            </t>
  </si>
  <si>
    <t xml:space="preserve">楠梓電          </t>
  </si>
  <si>
    <t xml:space="preserve">鴻海            </t>
  </si>
  <si>
    <t xml:space="preserve">東訊            </t>
  </si>
  <si>
    <t xml:space="preserve">中環            </t>
  </si>
  <si>
    <t xml:space="preserve">仁寶            </t>
  </si>
  <si>
    <t xml:space="preserve">矽品            </t>
  </si>
  <si>
    <t xml:space="preserve">國巨            </t>
  </si>
  <si>
    <t xml:space="preserve">廣宇            </t>
  </si>
  <si>
    <t xml:space="preserve">華泰            </t>
  </si>
  <si>
    <t xml:space="preserve">台積電          </t>
  </si>
  <si>
    <t xml:space="preserve">精英            </t>
  </si>
  <si>
    <t xml:space="preserve">友訊            </t>
  </si>
  <si>
    <t xml:space="preserve">旺宏            </t>
  </si>
  <si>
    <t xml:space="preserve">光罩            </t>
  </si>
  <si>
    <t xml:space="preserve">光磊            </t>
  </si>
  <si>
    <t xml:space="preserve">茂矽            </t>
  </si>
  <si>
    <t xml:space="preserve">華邦電          </t>
  </si>
  <si>
    <t xml:space="preserve">智邦            </t>
  </si>
  <si>
    <t xml:space="preserve">聯強            </t>
  </si>
  <si>
    <t xml:space="preserve">海悅            </t>
  </si>
  <si>
    <t xml:space="preserve">錸德            </t>
  </si>
  <si>
    <t xml:space="preserve">順德            </t>
  </si>
  <si>
    <t xml:space="preserve">佳世達          </t>
  </si>
  <si>
    <t xml:space="preserve">宏碁            </t>
  </si>
  <si>
    <t xml:space="preserve">鴻準            </t>
  </si>
  <si>
    <t xml:space="preserve">敬鵬            </t>
  </si>
  <si>
    <t xml:space="preserve">英業達          </t>
  </si>
  <si>
    <t xml:space="preserve">華碩            </t>
  </si>
  <si>
    <t xml:space="preserve">廷鑫            </t>
  </si>
  <si>
    <t xml:space="preserve">所羅門          </t>
  </si>
  <si>
    <t xml:space="preserve">致茂            </t>
  </si>
  <si>
    <t xml:space="preserve">鴻友            </t>
  </si>
  <si>
    <t xml:space="preserve">藍天            </t>
  </si>
  <si>
    <t xml:space="preserve">矽統            </t>
  </si>
  <si>
    <t xml:space="preserve">倫飛            </t>
  </si>
  <si>
    <t xml:space="preserve">昆盈            </t>
  </si>
  <si>
    <t xml:space="preserve">燿華            </t>
  </si>
  <si>
    <t xml:space="preserve">金像電          </t>
  </si>
  <si>
    <t xml:space="preserve">菱生            </t>
  </si>
  <si>
    <t xml:space="preserve">大同            </t>
  </si>
  <si>
    <t xml:space="preserve">震旦行          </t>
  </si>
  <si>
    <t xml:space="preserve">佳能            </t>
  </si>
  <si>
    <t xml:space="preserve">智寶            </t>
  </si>
  <si>
    <t xml:space="preserve">技嘉            </t>
  </si>
  <si>
    <t xml:space="preserve">微星            </t>
  </si>
  <si>
    <t xml:space="preserve">瑞昱            </t>
  </si>
  <si>
    <t xml:space="preserve">虹光            </t>
  </si>
  <si>
    <t xml:space="preserve">廣達            </t>
  </si>
  <si>
    <t xml:space="preserve">台光電          </t>
  </si>
  <si>
    <t xml:space="preserve">群光            </t>
  </si>
  <si>
    <t xml:space="preserve">精元            </t>
  </si>
  <si>
    <t xml:space="preserve">威盛            </t>
  </si>
  <si>
    <t xml:space="preserve">云辰            </t>
  </si>
  <si>
    <t xml:space="preserve">正崴            </t>
  </si>
  <si>
    <t xml:space="preserve">億光            </t>
  </si>
  <si>
    <t xml:space="preserve">研華            </t>
  </si>
  <si>
    <t xml:space="preserve">友通            </t>
  </si>
  <si>
    <t xml:space="preserve">映泰            </t>
  </si>
  <si>
    <t xml:space="preserve">凌陽            </t>
  </si>
  <si>
    <t xml:space="preserve">毅嘉            </t>
  </si>
  <si>
    <t xml:space="preserve">漢唐            </t>
  </si>
  <si>
    <t xml:space="preserve">浩鑫            </t>
  </si>
  <si>
    <t xml:space="preserve">國碩            </t>
  </si>
  <si>
    <t xml:space="preserve">南亞科          </t>
  </si>
  <si>
    <t xml:space="preserve">友達            </t>
  </si>
  <si>
    <t xml:space="preserve">中華電          </t>
  </si>
  <si>
    <t xml:space="preserve">環科            </t>
  </si>
  <si>
    <t xml:space="preserve">精技            </t>
  </si>
  <si>
    <t xml:space="preserve">錩新            </t>
  </si>
  <si>
    <t xml:space="preserve">圓剛            </t>
  </si>
  <si>
    <t xml:space="preserve">仲琦            </t>
  </si>
  <si>
    <t xml:space="preserve">新巨            </t>
  </si>
  <si>
    <t xml:space="preserve">建準            </t>
  </si>
  <si>
    <t xml:space="preserve">固緯            </t>
  </si>
  <si>
    <t xml:space="preserve">隴華            </t>
  </si>
  <si>
    <t xml:space="preserve">承啟            </t>
  </si>
  <si>
    <t xml:space="preserve">鼎元            </t>
  </si>
  <si>
    <t xml:space="preserve">三商電          </t>
  </si>
  <si>
    <t xml:space="preserve">興勤            </t>
  </si>
  <si>
    <t xml:space="preserve">銘旺科          </t>
  </si>
  <si>
    <t xml:space="preserve">燦坤            </t>
  </si>
  <si>
    <t xml:space="preserve">聯昌            </t>
  </si>
  <si>
    <t xml:space="preserve">互盛電          </t>
  </si>
  <si>
    <t xml:space="preserve">統懋            </t>
  </si>
  <si>
    <t xml:space="preserve">偉詮電          </t>
  </si>
  <si>
    <t xml:space="preserve">旺詮            </t>
  </si>
  <si>
    <t xml:space="preserve">翔耀            </t>
  </si>
  <si>
    <t xml:space="preserve">美律            </t>
  </si>
  <si>
    <t xml:space="preserve">太空梭          </t>
  </si>
  <si>
    <t xml:space="preserve">超豐            </t>
  </si>
  <si>
    <t xml:space="preserve">新美齊          </t>
  </si>
  <si>
    <t xml:space="preserve">新利虹          </t>
  </si>
  <si>
    <t xml:space="preserve">友旺            </t>
  </si>
  <si>
    <t xml:space="preserve">晶電            </t>
  </si>
  <si>
    <t xml:space="preserve">京元電          </t>
  </si>
  <si>
    <t xml:space="preserve">神腦            </t>
  </si>
  <si>
    <t xml:space="preserve">創見            </t>
  </si>
  <si>
    <t xml:space="preserve">凌群            </t>
  </si>
  <si>
    <t xml:space="preserve">聯發科          </t>
  </si>
  <si>
    <t xml:space="preserve">全新            </t>
  </si>
  <si>
    <t xml:space="preserve">奇力新          </t>
  </si>
  <si>
    <t xml:space="preserve">飛宏            </t>
  </si>
  <si>
    <t xml:space="preserve">義隆            </t>
  </si>
  <si>
    <t xml:space="preserve">敦吉            </t>
  </si>
  <si>
    <t xml:space="preserve">建通            </t>
  </si>
  <si>
    <t xml:space="preserve">光群雷          </t>
  </si>
  <si>
    <t xml:space="preserve">良得電          </t>
  </si>
  <si>
    <t xml:space="preserve">盟立            </t>
  </si>
  <si>
    <t xml:space="preserve">麗臺            </t>
  </si>
  <si>
    <t xml:space="preserve">冠西電          </t>
  </si>
  <si>
    <t xml:space="preserve">志聖            </t>
  </si>
  <si>
    <t xml:space="preserve">華經            </t>
  </si>
  <si>
    <t xml:space="preserve">資通            </t>
  </si>
  <si>
    <t xml:space="preserve">可成            </t>
  </si>
  <si>
    <t xml:space="preserve">華映            </t>
  </si>
  <si>
    <t xml:space="preserve">鉅祥            </t>
  </si>
  <si>
    <t xml:space="preserve">美隆電          </t>
  </si>
  <si>
    <t xml:space="preserve">大毅            </t>
  </si>
  <si>
    <t xml:space="preserve">敦陽科          </t>
  </si>
  <si>
    <t xml:space="preserve">強茂            </t>
  </si>
  <si>
    <t xml:space="preserve">連宇            </t>
  </si>
  <si>
    <t xml:space="preserve">百容            </t>
  </si>
  <si>
    <t xml:space="preserve">希華            </t>
  </si>
  <si>
    <t xml:space="preserve">兆赫            </t>
  </si>
  <si>
    <t xml:space="preserve">一詮            </t>
  </si>
  <si>
    <t xml:space="preserve">漢平            </t>
  </si>
  <si>
    <t xml:space="preserve">瑞軒            </t>
  </si>
  <si>
    <t xml:space="preserve">吉祥全          </t>
  </si>
  <si>
    <t xml:space="preserve">華新科          </t>
  </si>
  <si>
    <t xml:space="preserve">揚博            </t>
  </si>
  <si>
    <t xml:space="preserve">普安            </t>
  </si>
  <si>
    <t xml:space="preserve">卓越            </t>
  </si>
  <si>
    <t xml:space="preserve">怡利電          </t>
  </si>
  <si>
    <t xml:space="preserve">宏達電          </t>
  </si>
  <si>
    <t xml:space="preserve">東貝            </t>
  </si>
  <si>
    <t xml:space="preserve">國建            </t>
  </si>
  <si>
    <t xml:space="preserve">國產            </t>
  </si>
  <si>
    <t xml:space="preserve">國揚            </t>
  </si>
  <si>
    <t xml:space="preserve">太設            </t>
  </si>
  <si>
    <t xml:space="preserve">全坤建          </t>
  </si>
  <si>
    <t xml:space="preserve">太子            </t>
  </si>
  <si>
    <t xml:space="preserve">龍邦            </t>
  </si>
  <si>
    <t xml:space="preserve">中工            </t>
  </si>
  <si>
    <t xml:space="preserve">新建            </t>
  </si>
  <si>
    <t xml:space="preserve">冠德            </t>
  </si>
  <si>
    <t xml:space="preserve">京城            </t>
  </si>
  <si>
    <t xml:space="preserve">宏璟            </t>
  </si>
  <si>
    <t xml:space="preserve">皇普            </t>
  </si>
  <si>
    <t xml:space="preserve">華建            </t>
  </si>
  <si>
    <t xml:space="preserve">宏盛            </t>
  </si>
  <si>
    <t xml:space="preserve">達欣工          </t>
  </si>
  <si>
    <t xml:space="preserve">宏普            </t>
  </si>
  <si>
    <t xml:space="preserve">聯上發          </t>
  </si>
  <si>
    <t xml:space="preserve">基泰            </t>
  </si>
  <si>
    <t xml:space="preserve">櫻花建          </t>
  </si>
  <si>
    <t xml:space="preserve">愛山林          </t>
  </si>
  <si>
    <t xml:space="preserve">興富發          </t>
  </si>
  <si>
    <t xml:space="preserve">皇昌            </t>
  </si>
  <si>
    <t xml:space="preserve">皇翔            </t>
  </si>
  <si>
    <t xml:space="preserve">根基            </t>
  </si>
  <si>
    <t xml:space="preserve">日勝生          </t>
  </si>
  <si>
    <t xml:space="preserve">華固            </t>
  </si>
  <si>
    <t xml:space="preserve">潤弘            </t>
  </si>
  <si>
    <t xml:space="preserve">益航            </t>
  </si>
  <si>
    <t xml:space="preserve">長榮            </t>
  </si>
  <si>
    <t xml:space="preserve">新興            </t>
  </si>
  <si>
    <t xml:space="preserve">裕民            </t>
  </si>
  <si>
    <t xml:space="preserve">榮運            </t>
  </si>
  <si>
    <t xml:space="preserve">大榮            </t>
  </si>
  <si>
    <t xml:space="preserve">陽明            </t>
  </si>
  <si>
    <t xml:space="preserve">華航            </t>
  </si>
  <si>
    <t xml:space="preserve">志信            </t>
  </si>
  <si>
    <t xml:space="preserve">中航            </t>
  </si>
  <si>
    <t xml:space="preserve">中櫃            </t>
  </si>
  <si>
    <t xml:space="preserve">東森            </t>
  </si>
  <si>
    <t xml:space="preserve">萬海            </t>
  </si>
  <si>
    <t xml:space="preserve">山隆            </t>
  </si>
  <si>
    <t xml:space="preserve">台航            </t>
  </si>
  <si>
    <t xml:space="preserve">長榮航          </t>
  </si>
  <si>
    <t xml:space="preserve">漢翔            </t>
  </si>
  <si>
    <t xml:space="preserve">F-慧洋          </t>
  </si>
  <si>
    <t xml:space="preserve">宅配通          </t>
  </si>
  <si>
    <t xml:space="preserve">萬企            </t>
  </si>
  <si>
    <t xml:space="preserve">華園            </t>
  </si>
  <si>
    <t xml:space="preserve">國賓            </t>
  </si>
  <si>
    <t xml:space="preserve">六福            </t>
  </si>
  <si>
    <t xml:space="preserve">第一店          </t>
  </si>
  <si>
    <t xml:space="preserve">晶華            </t>
  </si>
  <si>
    <t xml:space="preserve">遠雄來          </t>
  </si>
  <si>
    <t xml:space="preserve">夏都            </t>
  </si>
  <si>
    <t xml:space="preserve">F-美食          </t>
  </si>
  <si>
    <t xml:space="preserve">王品            </t>
  </si>
  <si>
    <t xml:space="preserve">雄獅            </t>
  </si>
  <si>
    <t xml:space="preserve">彰銀            </t>
  </si>
  <si>
    <t xml:space="preserve">京城銀          </t>
  </si>
  <si>
    <t xml:space="preserve">台中銀          </t>
  </si>
  <si>
    <t xml:space="preserve">旺旺保          </t>
  </si>
  <si>
    <t xml:space="preserve">華票            </t>
  </si>
  <si>
    <t xml:space="preserve">中壽            </t>
  </si>
  <si>
    <t xml:space="preserve">台產            </t>
  </si>
  <si>
    <t xml:space="preserve">臺企銀          </t>
  </si>
  <si>
    <t xml:space="preserve">高雄銀          </t>
  </si>
  <si>
    <t xml:space="preserve">聯邦銀          </t>
  </si>
  <si>
    <t xml:space="preserve">台開            </t>
  </si>
  <si>
    <t xml:space="preserve">遠東銀          </t>
  </si>
  <si>
    <t xml:space="preserve">大眾銀          </t>
  </si>
  <si>
    <t xml:space="preserve">安泰銀          </t>
  </si>
  <si>
    <t xml:space="preserve">新產            </t>
  </si>
  <si>
    <t xml:space="preserve">中再保          </t>
  </si>
  <si>
    <t xml:space="preserve">第一保          </t>
  </si>
  <si>
    <t xml:space="preserve">統一證          </t>
  </si>
  <si>
    <t xml:space="preserve">元富證          </t>
  </si>
  <si>
    <t xml:space="preserve">三商壽          </t>
  </si>
  <si>
    <t xml:space="preserve">華南金          </t>
  </si>
  <si>
    <t xml:space="preserve">富邦金          </t>
  </si>
  <si>
    <t xml:space="preserve">國泰金          </t>
  </si>
  <si>
    <t xml:space="preserve">開發金          </t>
  </si>
  <si>
    <t xml:space="preserve">玉山金          </t>
  </si>
  <si>
    <t xml:space="preserve">元大金          </t>
  </si>
  <si>
    <t xml:space="preserve">兆豐金          </t>
  </si>
  <si>
    <t xml:space="preserve">台新金          </t>
  </si>
  <si>
    <t xml:space="preserve">新光金          </t>
  </si>
  <si>
    <t xml:space="preserve">國票金          </t>
  </si>
  <si>
    <t xml:space="preserve">永豐金          </t>
  </si>
  <si>
    <t xml:space="preserve">中信金          </t>
  </si>
  <si>
    <t xml:space="preserve">2891A </t>
  </si>
  <si>
    <t xml:space="preserve">中信特          </t>
  </si>
  <si>
    <t xml:space="preserve">第一金          </t>
  </si>
  <si>
    <t xml:space="preserve">欣欣            </t>
  </si>
  <si>
    <t xml:space="preserve">遠百            </t>
  </si>
  <si>
    <t xml:space="preserve">匯僑            </t>
  </si>
  <si>
    <t xml:space="preserve">三商            </t>
  </si>
  <si>
    <t xml:space="preserve">高林            </t>
  </si>
  <si>
    <t xml:space="preserve">特力            </t>
  </si>
  <si>
    <t xml:space="preserve">統領            </t>
  </si>
  <si>
    <t xml:space="preserve">麗嬰房          </t>
  </si>
  <si>
    <t xml:space="preserve">統一超          </t>
  </si>
  <si>
    <t xml:space="preserve">農林            </t>
  </si>
  <si>
    <t xml:space="preserve">潤泰全          </t>
  </si>
  <si>
    <t xml:space="preserve">F-鼎固          </t>
  </si>
  <si>
    <t xml:space="preserve">F-淘帝          </t>
  </si>
  <si>
    <t xml:space="preserve">歐格            </t>
  </si>
  <si>
    <t xml:space="preserve">健和興          </t>
  </si>
  <si>
    <t xml:space="preserve">豐達科          </t>
  </si>
  <si>
    <t xml:space="preserve">神基            </t>
  </si>
  <si>
    <t xml:space="preserve">晶豪科          </t>
  </si>
  <si>
    <t xml:space="preserve">大立光          </t>
  </si>
  <si>
    <t xml:space="preserve">華立            </t>
  </si>
  <si>
    <t xml:space="preserve">今皓            </t>
  </si>
  <si>
    <t xml:space="preserve">晟銘電          </t>
  </si>
  <si>
    <t xml:space="preserve">聯陽            </t>
  </si>
  <si>
    <t xml:space="preserve">嘉晶            </t>
  </si>
  <si>
    <t xml:space="preserve">奇鋐            </t>
  </si>
  <si>
    <t xml:space="preserve">同開            </t>
  </si>
  <si>
    <t xml:space="preserve">亞光            </t>
  </si>
  <si>
    <t xml:space="preserve">鴻名            </t>
  </si>
  <si>
    <t xml:space="preserve">威強電          </t>
  </si>
  <si>
    <t xml:space="preserve">信邦            </t>
  </si>
  <si>
    <t xml:space="preserve">憶聲            </t>
  </si>
  <si>
    <t xml:space="preserve">星通            </t>
  </si>
  <si>
    <t xml:space="preserve">禾伸堂          </t>
  </si>
  <si>
    <t xml:space="preserve">盛達            </t>
  </si>
  <si>
    <t xml:space="preserve">增你強          </t>
  </si>
  <si>
    <t xml:space="preserve">零壹            </t>
  </si>
  <si>
    <t xml:space="preserve">德律            </t>
  </si>
  <si>
    <t xml:space="preserve">佰鴻            </t>
  </si>
  <si>
    <t xml:space="preserve">偉訓            </t>
  </si>
  <si>
    <t xml:space="preserve">威健            </t>
  </si>
  <si>
    <t xml:space="preserve">聯詠            </t>
  </si>
  <si>
    <t xml:space="preserve">智原            </t>
  </si>
  <si>
    <t xml:space="preserve">文曄            </t>
  </si>
  <si>
    <t xml:space="preserve">欣興            </t>
  </si>
  <si>
    <t xml:space="preserve">全台            </t>
  </si>
  <si>
    <t xml:space="preserve">遠見            </t>
  </si>
  <si>
    <t xml:space="preserve">揚智            </t>
  </si>
  <si>
    <t xml:space="preserve">晶技            </t>
  </si>
  <si>
    <t xml:space="preserve">科風            </t>
  </si>
  <si>
    <t xml:space="preserve">健鼎            </t>
  </si>
  <si>
    <t xml:space="preserve">台灣大          </t>
  </si>
  <si>
    <t xml:space="preserve">建碁            </t>
  </si>
  <si>
    <t xml:space="preserve">訊舟            </t>
  </si>
  <si>
    <t xml:space="preserve">益登            </t>
  </si>
  <si>
    <t xml:space="preserve">和鑫            </t>
  </si>
  <si>
    <t xml:space="preserve">鈺德            </t>
  </si>
  <si>
    <t xml:space="preserve">力特            </t>
  </si>
  <si>
    <t xml:space="preserve">夆典            </t>
  </si>
  <si>
    <t xml:space="preserve">立萬利          </t>
  </si>
  <si>
    <t xml:space="preserve">蔚華科          </t>
  </si>
  <si>
    <t xml:space="preserve">總太            </t>
  </si>
  <si>
    <t xml:space="preserve">喬鼎            </t>
  </si>
  <si>
    <t xml:space="preserve">立德            </t>
  </si>
  <si>
    <t xml:space="preserve">華晶科          </t>
  </si>
  <si>
    <t xml:space="preserve">銘異            </t>
  </si>
  <si>
    <t xml:space="preserve">建漢            </t>
  </si>
  <si>
    <t xml:space="preserve">日電貿          </t>
  </si>
  <si>
    <t xml:space="preserve">聯傑            </t>
  </si>
  <si>
    <t xml:space="preserve">一零四          </t>
  </si>
  <si>
    <t xml:space="preserve">正達            </t>
  </si>
  <si>
    <t xml:space="preserve">景岳            </t>
  </si>
  <si>
    <t xml:space="preserve">大量            </t>
  </si>
  <si>
    <t xml:space="preserve">景碩            </t>
  </si>
  <si>
    <t xml:space="preserve">全科            </t>
  </si>
  <si>
    <t xml:space="preserve">晟鈦            </t>
  </si>
  <si>
    <t xml:space="preserve">緯創            </t>
  </si>
  <si>
    <t xml:space="preserve">虹冠電          </t>
  </si>
  <si>
    <t xml:space="preserve">昇陽            </t>
  </si>
  <si>
    <t xml:space="preserve">勝德            </t>
  </si>
  <si>
    <t xml:space="preserve">昇貿            </t>
  </si>
  <si>
    <t xml:space="preserve">聯德            </t>
  </si>
  <si>
    <t xml:space="preserve">閎暉            </t>
  </si>
  <si>
    <t xml:space="preserve">弘憶股          </t>
  </si>
  <si>
    <t xml:space="preserve">宣昶            </t>
  </si>
  <si>
    <t xml:space="preserve">泰碩            </t>
  </si>
  <si>
    <t xml:space="preserve">奇偶            </t>
  </si>
  <si>
    <t xml:space="preserve">新日興          </t>
  </si>
  <si>
    <t xml:space="preserve">明泰            </t>
  </si>
  <si>
    <t xml:space="preserve">新世紀          </t>
  </si>
  <si>
    <t xml:space="preserve">玉晶光          </t>
  </si>
  <si>
    <t xml:space="preserve">京鼎            </t>
  </si>
  <si>
    <t xml:space="preserve">融程電          </t>
  </si>
  <si>
    <t xml:space="preserve">譁裕            </t>
  </si>
  <si>
    <t xml:space="preserve">台端            </t>
  </si>
  <si>
    <t xml:space="preserve">榮創            </t>
  </si>
  <si>
    <t xml:space="preserve">創意            </t>
  </si>
  <si>
    <t xml:space="preserve">聯鈞            </t>
  </si>
  <si>
    <t xml:space="preserve">晶睿            </t>
  </si>
  <si>
    <t xml:space="preserve">華亞科          </t>
  </si>
  <si>
    <t xml:space="preserve">群創            </t>
  </si>
  <si>
    <t xml:space="preserve">誠研            </t>
  </si>
  <si>
    <t xml:space="preserve">維熹            </t>
  </si>
  <si>
    <t xml:space="preserve">揚明光          </t>
  </si>
  <si>
    <t xml:space="preserve">昱晶            </t>
  </si>
  <si>
    <t xml:space="preserve">華擎            </t>
  </si>
  <si>
    <t xml:space="preserve">柏騰            </t>
  </si>
  <si>
    <t xml:space="preserve">綠能            </t>
  </si>
  <si>
    <t xml:space="preserve">台勝科          </t>
  </si>
  <si>
    <t xml:space="preserve">嘉澤            </t>
  </si>
  <si>
    <t xml:space="preserve">晶彩科          </t>
  </si>
  <si>
    <t xml:space="preserve">誠創            </t>
  </si>
  <si>
    <t xml:space="preserve">敦泰            </t>
  </si>
  <si>
    <t xml:space="preserve">聯穎            </t>
  </si>
  <si>
    <t xml:space="preserve">嘉威            </t>
  </si>
  <si>
    <t xml:space="preserve">全智科          </t>
  </si>
  <si>
    <t xml:space="preserve">昇陽科          </t>
  </si>
  <si>
    <t xml:space="preserve">穎台            </t>
  </si>
  <si>
    <t xml:space="preserve">新日光          </t>
  </si>
  <si>
    <t xml:space="preserve">尚志            </t>
  </si>
  <si>
    <t xml:space="preserve">辛耘            </t>
  </si>
  <si>
    <t xml:space="preserve">介面            </t>
  </si>
  <si>
    <t xml:space="preserve">通嘉            </t>
  </si>
  <si>
    <t xml:space="preserve">艾笛森          </t>
  </si>
  <si>
    <t xml:space="preserve">力銘            </t>
  </si>
  <si>
    <t xml:space="preserve">智易            </t>
  </si>
  <si>
    <t xml:space="preserve">奕力            </t>
  </si>
  <si>
    <t xml:space="preserve">宏致            </t>
  </si>
  <si>
    <t xml:space="preserve">谷崧            </t>
  </si>
  <si>
    <t xml:space="preserve">碩天            </t>
  </si>
  <si>
    <t xml:space="preserve">洋華            </t>
  </si>
  <si>
    <t xml:space="preserve">達邁            </t>
  </si>
  <si>
    <t xml:space="preserve">健策            </t>
  </si>
  <si>
    <t xml:space="preserve">F-世芯          </t>
  </si>
  <si>
    <t xml:space="preserve">F-貿聯          </t>
  </si>
  <si>
    <t xml:space="preserve">圓展            </t>
  </si>
  <si>
    <t xml:space="preserve">F-TPK           </t>
  </si>
  <si>
    <t xml:space="preserve">新至陞          </t>
  </si>
  <si>
    <t xml:space="preserve">亞太電          </t>
  </si>
  <si>
    <t xml:space="preserve">達能            </t>
  </si>
  <si>
    <t xml:space="preserve">海華            </t>
  </si>
  <si>
    <t xml:space="preserve">隆達            </t>
  </si>
  <si>
    <t xml:space="preserve">大眾控          </t>
  </si>
  <si>
    <t xml:space="preserve">大聯大          </t>
  </si>
  <si>
    <t xml:space="preserve">欣陸            </t>
  </si>
  <si>
    <t xml:space="preserve">合勤控          </t>
  </si>
  <si>
    <t xml:space="preserve">永信            </t>
  </si>
  <si>
    <t xml:space="preserve">神達            </t>
  </si>
  <si>
    <t xml:space="preserve">佳醫            </t>
  </si>
  <si>
    <t xml:space="preserve">雃博            </t>
  </si>
  <si>
    <t xml:space="preserve">懷特            </t>
  </si>
  <si>
    <t xml:space="preserve">旭富            </t>
  </si>
  <si>
    <t xml:space="preserve">亞諾法          </t>
  </si>
  <si>
    <t xml:space="preserve">F-麗豐          </t>
  </si>
  <si>
    <t xml:space="preserve">F-龍燈          </t>
  </si>
  <si>
    <t xml:space="preserve">國光生          </t>
  </si>
  <si>
    <t xml:space="preserve">F-康聯          </t>
  </si>
  <si>
    <t xml:space="preserve">承業醫          </t>
  </si>
  <si>
    <t xml:space="preserve">炎洲            </t>
  </si>
  <si>
    <t xml:space="preserve">如興            </t>
  </si>
  <si>
    <t xml:space="preserve">利勤            </t>
  </si>
  <si>
    <t xml:space="preserve">東台            </t>
  </si>
  <si>
    <t xml:space="preserve">瑞智            </t>
  </si>
  <si>
    <t xml:space="preserve">拓凱            </t>
  </si>
  <si>
    <t xml:space="preserve">智伸科          </t>
  </si>
  <si>
    <t xml:space="preserve">F-永新          </t>
  </si>
  <si>
    <t xml:space="preserve">德淵            </t>
  </si>
  <si>
    <t xml:space="preserve">國精化          </t>
  </si>
  <si>
    <t xml:space="preserve">信昌化          </t>
  </si>
  <si>
    <t xml:space="preserve">上緯            </t>
  </si>
  <si>
    <t xml:space="preserve">華廣            </t>
  </si>
  <si>
    <t xml:space="preserve">台耀            </t>
  </si>
  <si>
    <t xml:space="preserve">三福化          </t>
  </si>
  <si>
    <t xml:space="preserve">遠傳            </t>
  </si>
  <si>
    <t xml:space="preserve">正文            </t>
  </si>
  <si>
    <t xml:space="preserve">F-聯德          </t>
  </si>
  <si>
    <t xml:space="preserve">致伸            </t>
  </si>
  <si>
    <t xml:space="preserve">事欣科          </t>
  </si>
  <si>
    <t xml:space="preserve">新唐            </t>
  </si>
  <si>
    <t xml:space="preserve">F-泰鼎          </t>
  </si>
  <si>
    <t xml:space="preserve">燦星網          </t>
  </si>
  <si>
    <t xml:space="preserve">太極            </t>
  </si>
  <si>
    <t xml:space="preserve">F-茂林          </t>
  </si>
  <si>
    <t xml:space="preserve">和碩            </t>
  </si>
  <si>
    <t xml:space="preserve">嘉彰            </t>
  </si>
  <si>
    <t xml:space="preserve">凌通            </t>
  </si>
  <si>
    <t xml:space="preserve">光鋐            </t>
  </si>
  <si>
    <t xml:space="preserve">F-臻鼎          </t>
  </si>
  <si>
    <t xml:space="preserve">奇美材          </t>
  </si>
  <si>
    <t xml:space="preserve">佳凌            </t>
  </si>
  <si>
    <t xml:space="preserve">F-眾達          </t>
  </si>
  <si>
    <t xml:space="preserve">F-科納          </t>
  </si>
  <si>
    <t xml:space="preserve">傳奇            </t>
  </si>
  <si>
    <t xml:space="preserve">鑫禾            </t>
  </si>
  <si>
    <t xml:space="preserve">三星            </t>
  </si>
  <si>
    <t xml:space="preserve">訊連            </t>
  </si>
  <si>
    <t xml:space="preserve">F-科嘉          </t>
  </si>
  <si>
    <t xml:space="preserve">F-東科          </t>
  </si>
  <si>
    <t xml:space="preserve">達興            </t>
  </si>
  <si>
    <t xml:space="preserve">F-乙盛          </t>
  </si>
  <si>
    <t xml:space="preserve">清惠            </t>
  </si>
  <si>
    <t xml:space="preserve">F-鎧勝          </t>
  </si>
  <si>
    <t xml:space="preserve">祥碩            </t>
  </si>
  <si>
    <t xml:space="preserve">界霖            </t>
  </si>
  <si>
    <t xml:space="preserve">F-豐祥          </t>
  </si>
  <si>
    <t xml:space="preserve">敦南            </t>
  </si>
  <si>
    <t xml:space="preserve">中磊            </t>
  </si>
  <si>
    <t xml:space="preserve">崇越            </t>
  </si>
  <si>
    <t xml:space="preserve">瀚宇博          </t>
  </si>
  <si>
    <t xml:space="preserve">松翰            </t>
  </si>
  <si>
    <t xml:space="preserve">慧友            </t>
  </si>
  <si>
    <t xml:space="preserve">建國            </t>
  </si>
  <si>
    <t xml:space="preserve">隆大            </t>
  </si>
  <si>
    <t xml:space="preserve">工信            </t>
  </si>
  <si>
    <t xml:space="preserve">遠雄            </t>
  </si>
  <si>
    <t xml:space="preserve">順天            </t>
  </si>
  <si>
    <t xml:space="preserve">鄉林            </t>
  </si>
  <si>
    <t xml:space="preserve">皇鼎            </t>
  </si>
  <si>
    <t xml:space="preserve">長虹            </t>
  </si>
  <si>
    <t xml:space="preserve">F-東明          </t>
  </si>
  <si>
    <t xml:space="preserve">遠雄港          </t>
  </si>
  <si>
    <t xml:space="preserve">四維航          </t>
  </si>
  <si>
    <t xml:space="preserve">鳳凰            </t>
  </si>
  <si>
    <t xml:space="preserve">F-中租          </t>
  </si>
  <si>
    <t xml:space="preserve">合庫金          </t>
  </si>
  <si>
    <t xml:space="preserve">F-台南          </t>
  </si>
  <si>
    <t xml:space="preserve">F-大洋          </t>
  </si>
  <si>
    <t xml:space="preserve">群益證          </t>
  </si>
  <si>
    <t xml:space="preserve">競國            </t>
  </si>
  <si>
    <t xml:space="preserve">聚碩            </t>
  </si>
  <si>
    <t xml:space="preserve">鎰勝            </t>
  </si>
  <si>
    <t xml:space="preserve">彩晶            </t>
  </si>
  <si>
    <t xml:space="preserve">迎廣            </t>
  </si>
  <si>
    <t xml:space="preserve">達運            </t>
  </si>
  <si>
    <t xml:space="preserve">上福            </t>
  </si>
  <si>
    <t xml:space="preserve">悠克            </t>
  </si>
  <si>
    <t xml:space="preserve">金橋            </t>
  </si>
  <si>
    <t xml:space="preserve">富爾特          </t>
  </si>
  <si>
    <t xml:space="preserve">亞翔            </t>
  </si>
  <si>
    <t xml:space="preserve">柏承            </t>
  </si>
  <si>
    <t xml:space="preserve">友勁            </t>
  </si>
  <si>
    <t xml:space="preserve">勁永            </t>
  </si>
  <si>
    <t xml:space="preserve">百一            </t>
  </si>
  <si>
    <t xml:space="preserve">嘉聯益          </t>
  </si>
  <si>
    <t xml:space="preserve">鈞寶            </t>
  </si>
  <si>
    <t xml:space="preserve">華興            </t>
  </si>
  <si>
    <t xml:space="preserve">捷泰            </t>
  </si>
  <si>
    <t xml:space="preserve">凌華            </t>
  </si>
  <si>
    <t xml:space="preserve">宏齊            </t>
  </si>
  <si>
    <t xml:space="preserve">互億            </t>
  </si>
  <si>
    <t xml:space="preserve">瑞儀            </t>
  </si>
  <si>
    <t xml:space="preserve">達麗            </t>
  </si>
  <si>
    <t xml:space="preserve">關貿            </t>
  </si>
  <si>
    <t xml:space="preserve">大豐電          </t>
  </si>
  <si>
    <t xml:space="preserve">豐藝            </t>
  </si>
  <si>
    <t xml:space="preserve">精成科          </t>
  </si>
  <si>
    <t xml:space="preserve">巨路            </t>
  </si>
  <si>
    <t xml:space="preserve">帆宣            </t>
  </si>
  <si>
    <t xml:space="preserve">佳必琪          </t>
  </si>
  <si>
    <t xml:space="preserve">亞弘電          </t>
  </si>
  <si>
    <t xml:space="preserve">盛群            </t>
  </si>
  <si>
    <t xml:space="preserve">詮欣            </t>
  </si>
  <si>
    <t xml:space="preserve">飛捷            </t>
  </si>
  <si>
    <t xml:space="preserve">今國光          </t>
  </si>
  <si>
    <t xml:space="preserve">聯茂            </t>
  </si>
  <si>
    <t xml:space="preserve">精誠            </t>
  </si>
  <si>
    <t xml:space="preserve">和椿            </t>
  </si>
  <si>
    <t xml:space="preserve">居易            </t>
  </si>
  <si>
    <t xml:space="preserve">聚鼎            </t>
  </si>
  <si>
    <t xml:space="preserve">天瀚            </t>
  </si>
  <si>
    <t xml:space="preserve">光鼎            </t>
  </si>
  <si>
    <t xml:space="preserve">超眾            </t>
  </si>
  <si>
    <t xml:space="preserve">華孚            </t>
  </si>
  <si>
    <t xml:space="preserve">力成            </t>
  </si>
  <si>
    <t xml:space="preserve">迅杰            </t>
  </si>
  <si>
    <t xml:space="preserve">定穎            </t>
  </si>
  <si>
    <t xml:space="preserve">矽格            </t>
  </si>
  <si>
    <t xml:space="preserve">台郡            </t>
  </si>
  <si>
    <t xml:space="preserve">同欣電          </t>
  </si>
  <si>
    <t xml:space="preserve">宏正            </t>
  </si>
  <si>
    <t xml:space="preserve">台表科          </t>
  </si>
  <si>
    <t xml:space="preserve">全國電          </t>
  </si>
  <si>
    <t xml:space="preserve">康舒            </t>
  </si>
  <si>
    <t xml:space="preserve">淳安            </t>
  </si>
  <si>
    <t xml:space="preserve">啟碁            </t>
  </si>
  <si>
    <t xml:space="preserve">立錡            </t>
  </si>
  <si>
    <t xml:space="preserve">華上            </t>
  </si>
  <si>
    <t xml:space="preserve">悅城            </t>
  </si>
  <si>
    <t xml:space="preserve">旭隼            </t>
  </si>
  <si>
    <t xml:space="preserve">群電            </t>
  </si>
  <si>
    <t xml:space="preserve">樺漢            </t>
  </si>
  <si>
    <t xml:space="preserve">F-矽力          </t>
  </si>
  <si>
    <t xml:space="preserve">F-君耀          </t>
  </si>
  <si>
    <t xml:space="preserve">F-光麗          </t>
  </si>
  <si>
    <t xml:space="preserve">光聖            </t>
  </si>
  <si>
    <t xml:space="preserve">元晶            </t>
  </si>
  <si>
    <t xml:space="preserve">鈺邦            </t>
  </si>
  <si>
    <t xml:space="preserve">F-訊芯          </t>
  </si>
  <si>
    <t xml:space="preserve">F-康友          </t>
  </si>
  <si>
    <t xml:space="preserve">F-GIS           </t>
  </si>
  <si>
    <t xml:space="preserve">南六            </t>
  </si>
  <si>
    <t xml:space="preserve">台塑化          </t>
  </si>
  <si>
    <t xml:space="preserve">帝寶            </t>
  </si>
  <si>
    <t xml:space="preserve">興航            </t>
  </si>
  <si>
    <t xml:space="preserve">台通            </t>
  </si>
  <si>
    <t xml:space="preserve">矽創            </t>
  </si>
  <si>
    <t xml:space="preserve">尖點            </t>
  </si>
  <si>
    <t xml:space="preserve">雷虎            </t>
  </si>
  <si>
    <t xml:space="preserve">台虹            </t>
  </si>
  <si>
    <t xml:space="preserve">南電            </t>
  </si>
  <si>
    <t xml:space="preserve">長華            </t>
  </si>
  <si>
    <t xml:space="preserve">陞泰            </t>
  </si>
  <si>
    <t xml:space="preserve">致新            </t>
  </si>
  <si>
    <t xml:space="preserve">華冠            </t>
  </si>
  <si>
    <t xml:space="preserve">瀚荃            </t>
  </si>
  <si>
    <t xml:space="preserve">凌巨            </t>
  </si>
  <si>
    <t xml:space="preserve">華東            </t>
  </si>
  <si>
    <t xml:space="preserve">至上            </t>
  </si>
  <si>
    <t xml:space="preserve">振樺電          </t>
  </si>
  <si>
    <t xml:space="preserve">福懋科          </t>
  </si>
  <si>
    <t xml:space="preserve">南茂            </t>
  </si>
  <si>
    <t xml:space="preserve">達方            </t>
  </si>
  <si>
    <t xml:space="preserve">無敵            </t>
  </si>
  <si>
    <t xml:space="preserve">勤誠            </t>
  </si>
  <si>
    <t xml:space="preserve">志超            </t>
  </si>
  <si>
    <t xml:space="preserve">明基材          </t>
  </si>
  <si>
    <t xml:space="preserve">寶一            </t>
  </si>
  <si>
    <t xml:space="preserve">菱光            </t>
  </si>
  <si>
    <t xml:space="preserve">富鼎            </t>
  </si>
  <si>
    <t xml:space="preserve">宇瞻            </t>
  </si>
  <si>
    <t xml:space="preserve">日友            </t>
  </si>
  <si>
    <t xml:space="preserve">羅昇            </t>
  </si>
  <si>
    <t xml:space="preserve">F-百和          </t>
  </si>
  <si>
    <t xml:space="preserve">F-福貞          </t>
  </si>
  <si>
    <t xml:space="preserve">可寧衛          </t>
  </si>
  <si>
    <t xml:space="preserve">F-基勝          </t>
  </si>
  <si>
    <t xml:space="preserve">F-金麗          </t>
  </si>
  <si>
    <t xml:space="preserve">阿瘦            </t>
  </si>
  <si>
    <t xml:space="preserve">富邦媒          </t>
  </si>
  <si>
    <t xml:space="preserve">潤泰材          </t>
  </si>
  <si>
    <t xml:space="preserve">台汽電          </t>
  </si>
  <si>
    <t xml:space="preserve">新天地          </t>
  </si>
  <si>
    <t xml:space="preserve">高力            </t>
  </si>
  <si>
    <t xml:space="preserve">美德醫          </t>
  </si>
  <si>
    <t xml:space="preserve">康師傅          </t>
  </si>
  <si>
    <t xml:space="preserve">聖馬丁          </t>
  </si>
  <si>
    <t xml:space="preserve">泰金寶          </t>
  </si>
  <si>
    <t xml:space="preserve">新焦點          </t>
  </si>
  <si>
    <t xml:space="preserve">恒大健          </t>
  </si>
  <si>
    <t xml:space="preserve">金衛            </t>
  </si>
  <si>
    <t xml:space="preserve">神州            </t>
  </si>
  <si>
    <t xml:space="preserve">越南控          </t>
  </si>
  <si>
    <t xml:space="preserve">明輝            </t>
  </si>
  <si>
    <t xml:space="preserve">中泰山          </t>
  </si>
  <si>
    <t xml:space="preserve">滬安            </t>
  </si>
  <si>
    <t xml:space="preserve">杜康            </t>
  </si>
  <si>
    <t xml:space="preserve">耀傑            </t>
  </si>
  <si>
    <t xml:space="preserve">泰聚亨          </t>
  </si>
  <si>
    <t xml:space="preserve">MSH             </t>
  </si>
  <si>
    <t xml:space="preserve">同方友          </t>
  </si>
  <si>
    <t xml:space="preserve">晨訊科          </t>
  </si>
  <si>
    <t xml:space="preserve">友佳            </t>
  </si>
  <si>
    <t xml:space="preserve">巨騰            </t>
  </si>
  <si>
    <t xml:space="preserve">大成糖          </t>
  </si>
  <si>
    <t xml:space="preserve">陽光能          </t>
  </si>
  <si>
    <t xml:space="preserve">精熙            </t>
  </si>
  <si>
    <t xml:space="preserve">F-鈺齊          </t>
  </si>
  <si>
    <t xml:space="preserve">台火            </t>
  </si>
  <si>
    <t xml:space="preserve">寶成            </t>
  </si>
  <si>
    <t xml:space="preserve">大華            </t>
  </si>
  <si>
    <t xml:space="preserve">欣巴巴          </t>
  </si>
  <si>
    <t xml:space="preserve">統一實          </t>
  </si>
  <si>
    <t xml:space="preserve">大台北          </t>
  </si>
  <si>
    <t xml:space="preserve">豐泰            </t>
  </si>
  <si>
    <t xml:space="preserve">櫻花            </t>
  </si>
  <si>
    <t xml:space="preserve">偉聯            </t>
  </si>
  <si>
    <t xml:space="preserve">美利達          </t>
  </si>
  <si>
    <t xml:space="preserve">中保            </t>
  </si>
  <si>
    <t xml:space="preserve">欣天然          </t>
  </si>
  <si>
    <t xml:space="preserve">康那香          </t>
  </si>
  <si>
    <t xml:space="preserve">巨大            </t>
  </si>
  <si>
    <t xml:space="preserve">福興            </t>
  </si>
  <si>
    <t xml:space="preserve">新保            </t>
  </si>
  <si>
    <t xml:space="preserve">新海            </t>
  </si>
  <si>
    <t xml:space="preserve">泰銘            </t>
  </si>
  <si>
    <t xml:space="preserve">中視            </t>
  </si>
  <si>
    <t xml:space="preserve">秋雨            </t>
  </si>
  <si>
    <t xml:space="preserve">中聯資          </t>
  </si>
  <si>
    <t xml:space="preserve">欣高            </t>
  </si>
  <si>
    <t xml:space="preserve">中鼎            </t>
  </si>
  <si>
    <t xml:space="preserve">成霖            </t>
  </si>
  <si>
    <t xml:space="preserve">慶豐富          </t>
  </si>
  <si>
    <t xml:space="preserve">全國            </t>
  </si>
  <si>
    <t xml:space="preserve">百和            </t>
  </si>
  <si>
    <t xml:space="preserve">宏全            </t>
  </si>
  <si>
    <t xml:space="preserve">信義            </t>
  </si>
  <si>
    <t xml:space="preserve">裕融            </t>
  </si>
  <si>
    <t xml:space="preserve">茂順            </t>
  </si>
  <si>
    <t xml:space="preserve">好樂迪          </t>
  </si>
  <si>
    <t xml:space="preserve">新麗            </t>
  </si>
  <si>
    <t xml:space="preserve">潤泰新          </t>
  </si>
  <si>
    <t xml:space="preserve">三發            </t>
  </si>
  <si>
    <t xml:space="preserve">佳龍            </t>
  </si>
  <si>
    <t xml:space="preserve">世紀鋼          </t>
  </si>
  <si>
    <t>寶富櫃</t>
  </si>
  <si>
    <t>F-鮮活</t>
  </si>
  <si>
    <t>F-其祥</t>
  </si>
  <si>
    <t>精華</t>
  </si>
  <si>
    <t>力肯</t>
  </si>
  <si>
    <t>新麥</t>
  </si>
  <si>
    <t>精剛</t>
  </si>
  <si>
    <t>和勤</t>
  </si>
  <si>
    <t>F-駿吉</t>
  </si>
  <si>
    <t>川寶</t>
  </si>
  <si>
    <t>宏佳騰</t>
  </si>
  <si>
    <t>合世</t>
  </si>
  <si>
    <t>訊聯</t>
  </si>
  <si>
    <t>光洋科</t>
  </si>
  <si>
    <t>杏昌</t>
  </si>
  <si>
    <t>美時</t>
  </si>
  <si>
    <t>富喬</t>
  </si>
  <si>
    <t>唐榮</t>
  </si>
  <si>
    <t>嘉鋼</t>
  </si>
  <si>
    <t>大甲</t>
  </si>
  <si>
    <t>綠意</t>
  </si>
  <si>
    <t>台驊</t>
  </si>
  <si>
    <t>大車隊</t>
  </si>
  <si>
    <t>正德</t>
  </si>
  <si>
    <t>F-富驛</t>
  </si>
  <si>
    <t>F-雅茗</t>
  </si>
  <si>
    <t>瓦城</t>
  </si>
  <si>
    <t>六角</t>
  </si>
  <si>
    <t>滿心</t>
  </si>
  <si>
    <t>F-東凌</t>
  </si>
  <si>
    <t>誠品生</t>
  </si>
  <si>
    <t>泰偉</t>
  </si>
  <si>
    <t>李洲</t>
  </si>
  <si>
    <t>協禧</t>
  </si>
  <si>
    <t>普格</t>
  </si>
  <si>
    <t>僑威</t>
  </si>
  <si>
    <t>聯亞</t>
  </si>
  <si>
    <t>網龍</t>
  </si>
  <si>
    <t>華義</t>
  </si>
  <si>
    <t>好德</t>
  </si>
  <si>
    <t>寶島極</t>
  </si>
  <si>
    <t>進階</t>
  </si>
  <si>
    <t>笙泉</t>
  </si>
  <si>
    <t>昇銳</t>
  </si>
  <si>
    <t>弘塑</t>
  </si>
  <si>
    <t>璟德</t>
  </si>
  <si>
    <t>精確</t>
  </si>
  <si>
    <t>亞信</t>
  </si>
  <si>
    <t>新洲</t>
  </si>
  <si>
    <t>和進</t>
  </si>
  <si>
    <t>樺晟</t>
  </si>
  <si>
    <t>志豐</t>
  </si>
  <si>
    <t>順達</t>
  </si>
  <si>
    <t>茂訊</t>
  </si>
  <si>
    <t>優群</t>
  </si>
  <si>
    <t>倚強</t>
  </si>
  <si>
    <t>台嘉碩</t>
  </si>
  <si>
    <t>三顧</t>
  </si>
  <si>
    <t>錦明</t>
  </si>
  <si>
    <t>鑫創</t>
  </si>
  <si>
    <t>威剛</t>
  </si>
  <si>
    <t>欣銓</t>
  </si>
  <si>
    <t>宇環</t>
  </si>
  <si>
    <t>廣寰科</t>
  </si>
  <si>
    <t>點晶</t>
  </si>
  <si>
    <t>宜特</t>
  </si>
  <si>
    <t>東浦</t>
  </si>
  <si>
    <t>鈊象</t>
  </si>
  <si>
    <t>鼎天</t>
  </si>
  <si>
    <t>佳穎</t>
  </si>
  <si>
    <t>尼克森</t>
  </si>
  <si>
    <t>建舜電</t>
  </si>
  <si>
    <t>雙鴻</t>
  </si>
  <si>
    <t>旭品</t>
  </si>
  <si>
    <t>泰谷</t>
  </si>
  <si>
    <t>律勝</t>
  </si>
  <si>
    <t>先進光</t>
  </si>
  <si>
    <t>彬台</t>
  </si>
  <si>
    <t>旭軟</t>
  </si>
  <si>
    <t>漢科</t>
  </si>
  <si>
    <t>長天</t>
  </si>
  <si>
    <t>類比科</t>
  </si>
  <si>
    <t>聯一光</t>
  </si>
  <si>
    <t>利機</t>
  </si>
  <si>
    <t>益通</t>
  </si>
  <si>
    <t>祥業</t>
  </si>
  <si>
    <t>安勤</t>
  </si>
  <si>
    <t>昇達科</t>
  </si>
  <si>
    <t>長盛</t>
  </si>
  <si>
    <t>陽程</t>
  </si>
  <si>
    <t>矽瑪</t>
  </si>
  <si>
    <t>能緹</t>
  </si>
  <si>
    <t>振維</t>
  </si>
  <si>
    <t>鴻翊</t>
  </si>
  <si>
    <t>迎輝</t>
  </si>
  <si>
    <t>凡甲</t>
  </si>
  <si>
    <t>安馳</t>
  </si>
  <si>
    <t>先益</t>
  </si>
  <si>
    <t>曜越</t>
  </si>
  <si>
    <t>西柏</t>
  </si>
  <si>
    <t>宇峻</t>
  </si>
  <si>
    <t>同致</t>
  </si>
  <si>
    <t>擎泰</t>
  </si>
  <si>
    <t>其陽</t>
  </si>
  <si>
    <t>逸昌</t>
  </si>
  <si>
    <t>大塚</t>
  </si>
  <si>
    <t>泓格</t>
  </si>
  <si>
    <t>友威科</t>
  </si>
  <si>
    <t>博磊</t>
  </si>
  <si>
    <t>閎康</t>
  </si>
  <si>
    <t>安可</t>
  </si>
  <si>
    <t>盈正</t>
  </si>
  <si>
    <t>卓韋</t>
  </si>
  <si>
    <t>研勤</t>
  </si>
  <si>
    <t>駿熠電</t>
  </si>
  <si>
    <t>艾恩特</t>
  </si>
  <si>
    <t>樂陞</t>
  </si>
  <si>
    <t>鑫科</t>
  </si>
  <si>
    <t>F-安瑞</t>
  </si>
  <si>
    <t>德微</t>
  </si>
  <si>
    <t>家登</t>
  </si>
  <si>
    <t>榮昌</t>
  </si>
  <si>
    <t>政翔</t>
  </si>
  <si>
    <t>湧德</t>
  </si>
  <si>
    <t>碩禾</t>
  </si>
  <si>
    <t>永日</t>
  </si>
  <si>
    <t>百略</t>
  </si>
  <si>
    <t>東洋</t>
  </si>
  <si>
    <t>邦特</t>
  </si>
  <si>
    <t>穆拉德</t>
  </si>
  <si>
    <t>濟生</t>
  </si>
  <si>
    <t>健喬</t>
  </si>
  <si>
    <t>優盛</t>
  </si>
  <si>
    <t>晟德</t>
  </si>
  <si>
    <t>天良</t>
  </si>
  <si>
    <t>中天</t>
  </si>
  <si>
    <t>聯合</t>
  </si>
  <si>
    <t>晶宇</t>
  </si>
  <si>
    <t>曜亞</t>
  </si>
  <si>
    <t>F-馬光</t>
  </si>
  <si>
    <t>F-康樂</t>
  </si>
  <si>
    <t>F*太景</t>
  </si>
  <si>
    <t>創源</t>
  </si>
  <si>
    <t>聿新科</t>
  </si>
  <si>
    <t>鐿鈦</t>
  </si>
  <si>
    <t>瑞基</t>
  </si>
  <si>
    <t>安成藥</t>
  </si>
  <si>
    <t>安克</t>
  </si>
  <si>
    <t>杏國</t>
  </si>
  <si>
    <t>中華食</t>
  </si>
  <si>
    <t>環泰</t>
  </si>
  <si>
    <t>信立</t>
  </si>
  <si>
    <t>世坤</t>
  </si>
  <si>
    <t>東隆興</t>
  </si>
  <si>
    <t>新昕纖</t>
  </si>
  <si>
    <t>飛寶</t>
  </si>
  <si>
    <t>台原藥</t>
  </si>
  <si>
    <t>金洲</t>
  </si>
  <si>
    <t>松懋</t>
  </si>
  <si>
    <t>光明</t>
  </si>
  <si>
    <t>耀億</t>
  </si>
  <si>
    <t>銘旺實</t>
  </si>
  <si>
    <t>興采</t>
  </si>
  <si>
    <t>源恆</t>
  </si>
  <si>
    <t>高鋒</t>
  </si>
  <si>
    <t>福裕</t>
  </si>
  <si>
    <t>永彰</t>
  </si>
  <si>
    <t>方土霖</t>
  </si>
  <si>
    <t>江興鍛</t>
  </si>
  <si>
    <t>昶洧</t>
  </si>
  <si>
    <t>宏易</t>
  </si>
  <si>
    <t>協易機</t>
  </si>
  <si>
    <t>慶騰</t>
  </si>
  <si>
    <t>至興</t>
  </si>
  <si>
    <t>晟田</t>
  </si>
  <si>
    <t>唐鋒</t>
  </si>
  <si>
    <t>大恭</t>
  </si>
  <si>
    <t>永純</t>
  </si>
  <si>
    <t>大立</t>
  </si>
  <si>
    <t>永昕</t>
  </si>
  <si>
    <t>豪展</t>
  </si>
  <si>
    <t>康普</t>
  </si>
  <si>
    <t>合一</t>
  </si>
  <si>
    <t>F-合富</t>
  </si>
  <si>
    <t>強生</t>
  </si>
  <si>
    <t>聯光通</t>
  </si>
  <si>
    <t>台聯電</t>
  </si>
  <si>
    <t>富宇</t>
  </si>
  <si>
    <t>前鼎</t>
  </si>
  <si>
    <t>F-欣厚</t>
  </si>
  <si>
    <t>兆遠</t>
  </si>
  <si>
    <t>辣椒</t>
  </si>
  <si>
    <t>F-昂寶</t>
  </si>
  <si>
    <t>緯軟</t>
  </si>
  <si>
    <t>F-譜瑞</t>
  </si>
  <si>
    <t>F-IET</t>
  </si>
  <si>
    <t>湯石</t>
  </si>
  <si>
    <t>廣穎</t>
  </si>
  <si>
    <t>科誠</t>
  </si>
  <si>
    <t>F-環宇</t>
  </si>
  <si>
    <t>晶達</t>
  </si>
  <si>
    <t>強新</t>
  </si>
  <si>
    <t>建錩</t>
  </si>
  <si>
    <t>松和</t>
  </si>
  <si>
    <t>凱衛</t>
  </si>
  <si>
    <t>力新</t>
  </si>
  <si>
    <t>漢康</t>
  </si>
  <si>
    <t>新鼎</t>
  </si>
  <si>
    <t>凌網</t>
  </si>
  <si>
    <t>亞昕</t>
  </si>
  <si>
    <t>F-立凱</t>
  </si>
  <si>
    <t>智崴</t>
  </si>
  <si>
    <t>F*AS</t>
  </si>
  <si>
    <t>信驊</t>
  </si>
  <si>
    <t>F-達輝</t>
  </si>
  <si>
    <t>F-jpp</t>
  </si>
  <si>
    <t>宜鼎</t>
  </si>
  <si>
    <t>桂盟</t>
  </si>
  <si>
    <t>系統電</t>
  </si>
  <si>
    <t>天剛</t>
  </si>
  <si>
    <t>世紀</t>
  </si>
  <si>
    <t>光聯</t>
  </si>
  <si>
    <t>友銓</t>
  </si>
  <si>
    <t>華容</t>
  </si>
  <si>
    <t>建榮</t>
  </si>
  <si>
    <t>立衛</t>
  </si>
  <si>
    <t>系通</t>
  </si>
  <si>
    <t>先豐</t>
  </si>
  <si>
    <t>鈺創</t>
  </si>
  <si>
    <t>台林</t>
  </si>
  <si>
    <t>協益</t>
  </si>
  <si>
    <t>合正</t>
  </si>
  <si>
    <t>金利</t>
  </si>
  <si>
    <t>青雲</t>
  </si>
  <si>
    <t>應華</t>
  </si>
  <si>
    <t>圓方</t>
  </si>
  <si>
    <t>國眾</t>
  </si>
  <si>
    <t>達威</t>
  </si>
  <si>
    <t>東友</t>
  </si>
  <si>
    <t>均豪</t>
  </si>
  <si>
    <t>同協</t>
  </si>
  <si>
    <t>霖宏</t>
  </si>
  <si>
    <t>聰泰</t>
  </si>
  <si>
    <t>德宏</t>
  </si>
  <si>
    <t>統盟</t>
  </si>
  <si>
    <t>華韡</t>
  </si>
  <si>
    <t>中美晶</t>
  </si>
  <si>
    <t>松普</t>
  </si>
  <si>
    <t>彩富</t>
  </si>
  <si>
    <t>連展</t>
  </si>
  <si>
    <t>三聯</t>
  </si>
  <si>
    <t>凱崴</t>
  </si>
  <si>
    <t>永信建</t>
  </si>
  <si>
    <t>德昌</t>
  </si>
  <si>
    <t>三豐</t>
  </si>
  <si>
    <t>雙喜</t>
  </si>
  <si>
    <t>力泰</t>
  </si>
  <si>
    <t>志嘉</t>
  </si>
  <si>
    <t>龍巖</t>
  </si>
  <si>
    <t>台聯櫃</t>
  </si>
  <si>
    <t>中連貨</t>
  </si>
  <si>
    <t>劍湖山</t>
  </si>
  <si>
    <t>亞都</t>
  </si>
  <si>
    <t>老爺知</t>
  </si>
  <si>
    <t>日盛金</t>
  </si>
  <si>
    <t>全家</t>
  </si>
  <si>
    <t>南仁湖</t>
  </si>
  <si>
    <t>宏遠證</t>
  </si>
  <si>
    <t>康和證</t>
  </si>
  <si>
    <t>大眾證</t>
  </si>
  <si>
    <t>元大期</t>
  </si>
  <si>
    <t>弘捷</t>
  </si>
  <si>
    <t>合邦</t>
  </si>
  <si>
    <t>創惟</t>
  </si>
  <si>
    <t>瑞傳</t>
  </si>
  <si>
    <t>華美</t>
  </si>
  <si>
    <t>亞元</t>
  </si>
  <si>
    <t>大宇資</t>
  </si>
  <si>
    <t>亞矽</t>
  </si>
  <si>
    <t>久威</t>
  </si>
  <si>
    <t>建達</t>
  </si>
  <si>
    <t>擎邦</t>
  </si>
  <si>
    <t>上奇</t>
  </si>
  <si>
    <t>業強</t>
  </si>
  <si>
    <t>信音</t>
  </si>
  <si>
    <t>九豪</t>
  </si>
  <si>
    <t>普誠</t>
  </si>
  <si>
    <t>萬旭</t>
  </si>
  <si>
    <t>茂達</t>
  </si>
  <si>
    <t>訊達</t>
  </si>
  <si>
    <t>振曜</t>
  </si>
  <si>
    <t>得利影</t>
  </si>
  <si>
    <t>頎邦</t>
  </si>
  <si>
    <t>驊宏資</t>
  </si>
  <si>
    <t>撼訊</t>
  </si>
  <si>
    <t>晉倫</t>
  </si>
  <si>
    <t>欣技</t>
  </si>
  <si>
    <t>久正</t>
  </si>
  <si>
    <t>昱泉</t>
  </si>
  <si>
    <t>信昌電</t>
  </si>
  <si>
    <t>安碁</t>
  </si>
  <si>
    <t>橘子</t>
  </si>
  <si>
    <t>幃翔</t>
  </si>
  <si>
    <t>萬潤</t>
  </si>
  <si>
    <t>廣明</t>
  </si>
  <si>
    <t>育富</t>
  </si>
  <si>
    <t>凌泰</t>
  </si>
  <si>
    <t>天品</t>
  </si>
  <si>
    <t>艾華</t>
  </si>
  <si>
    <t>日揚</t>
  </si>
  <si>
    <t>慶生</t>
  </si>
  <si>
    <t>福登</t>
  </si>
  <si>
    <t>中探針</t>
  </si>
  <si>
    <t>豪勉</t>
  </si>
  <si>
    <t>富旺</t>
  </si>
  <si>
    <t>上揚</t>
  </si>
  <si>
    <t>全譜</t>
  </si>
  <si>
    <t>旺玖</t>
  </si>
  <si>
    <t>勝麗</t>
  </si>
  <si>
    <t>松崗</t>
  </si>
  <si>
    <t>立康</t>
  </si>
  <si>
    <t>立端</t>
  </si>
  <si>
    <t>淇譽電</t>
  </si>
  <si>
    <t>普萊德</t>
  </si>
  <si>
    <t>泰詠</t>
  </si>
  <si>
    <t>倍微</t>
  </si>
  <si>
    <t>元山</t>
  </si>
  <si>
    <t>胡連</t>
  </si>
  <si>
    <t>佳邦</t>
  </si>
  <si>
    <t>元隆</t>
  </si>
  <si>
    <t>良維</t>
  </si>
  <si>
    <t>迅德</t>
  </si>
  <si>
    <t>智基</t>
  </si>
  <si>
    <t>崴強</t>
  </si>
  <si>
    <t>F-通訊</t>
  </si>
  <si>
    <t>京晨科</t>
  </si>
  <si>
    <t>今展科</t>
  </si>
  <si>
    <t>紘康</t>
  </si>
  <si>
    <t>環球晶</t>
  </si>
  <si>
    <t>雙邦</t>
  </si>
  <si>
    <t>崑鼎</t>
  </si>
  <si>
    <t>鈦昇</t>
  </si>
  <si>
    <t>光菱</t>
  </si>
  <si>
    <t>榮群</t>
  </si>
  <si>
    <t>九暘</t>
  </si>
  <si>
    <t>金山電</t>
  </si>
  <si>
    <t>蜜望實</t>
  </si>
  <si>
    <t>網家</t>
  </si>
  <si>
    <t>星雲</t>
  </si>
  <si>
    <t>德勝</t>
  </si>
  <si>
    <t>晶采</t>
  </si>
  <si>
    <t>廣積</t>
  </si>
  <si>
    <t>巨擘</t>
  </si>
  <si>
    <t>凱碩</t>
  </si>
  <si>
    <t>來思達</t>
  </si>
  <si>
    <t>志旭</t>
  </si>
  <si>
    <t>元太</t>
  </si>
  <si>
    <t>鉅橡</t>
  </si>
  <si>
    <t>伍豐</t>
  </si>
  <si>
    <t>洛碁</t>
  </si>
  <si>
    <t>誠遠</t>
  </si>
  <si>
    <t>巨虹</t>
  </si>
  <si>
    <t>宏捷科</t>
  </si>
  <si>
    <t>翔名</t>
  </si>
  <si>
    <t>建暐</t>
  </si>
  <si>
    <t>保銳</t>
  </si>
  <si>
    <t>擎亞</t>
  </si>
  <si>
    <t>常珵</t>
  </si>
  <si>
    <t>大世科</t>
  </si>
  <si>
    <t>博大</t>
  </si>
  <si>
    <t>立碁</t>
  </si>
  <si>
    <t>越峰</t>
  </si>
  <si>
    <t>正淩</t>
  </si>
  <si>
    <t>博智</t>
  </si>
  <si>
    <t>天宇</t>
  </si>
  <si>
    <t>智捷</t>
  </si>
  <si>
    <t>加高</t>
  </si>
  <si>
    <t>精星</t>
  </si>
  <si>
    <t>華宏</t>
  </si>
  <si>
    <t>朋程</t>
  </si>
  <si>
    <t>中日新</t>
  </si>
  <si>
    <t>商丞</t>
  </si>
  <si>
    <t>英格爾</t>
  </si>
  <si>
    <t>泰藝</t>
  </si>
  <si>
    <t>尚茂</t>
  </si>
  <si>
    <t>群聯</t>
  </si>
  <si>
    <t>恒耀</t>
  </si>
  <si>
    <t>冠好</t>
  </si>
  <si>
    <t>金居</t>
  </si>
  <si>
    <t>金益鼎</t>
  </si>
  <si>
    <t>白紗科</t>
  </si>
  <si>
    <t>盛弘</t>
  </si>
  <si>
    <t>F-金可</t>
  </si>
  <si>
    <t>商之器</t>
  </si>
  <si>
    <t>F-必勝</t>
  </si>
  <si>
    <t>F-保綠</t>
  </si>
  <si>
    <t>F-紅木</t>
  </si>
  <si>
    <t>大江</t>
  </si>
  <si>
    <t>F-大地</t>
  </si>
  <si>
    <t>華研</t>
  </si>
  <si>
    <t>裕國</t>
  </si>
  <si>
    <t>花王</t>
  </si>
  <si>
    <t>沈氏</t>
  </si>
  <si>
    <t>時報</t>
  </si>
  <si>
    <t>大田</t>
  </si>
  <si>
    <t>偉盟</t>
  </si>
  <si>
    <t>大汽電</t>
  </si>
  <si>
    <t>宏大</t>
  </si>
  <si>
    <t>愛地雅</t>
  </si>
  <si>
    <t>衡平</t>
  </si>
  <si>
    <t>國統</t>
  </si>
  <si>
    <t>合騏</t>
  </si>
  <si>
    <t>森鉅</t>
  </si>
  <si>
    <t>特藝</t>
  </si>
  <si>
    <t>萬國通</t>
  </si>
  <si>
    <t>皇田</t>
  </si>
  <si>
    <t>有益</t>
  </si>
  <si>
    <t xml:space="preserve">信大            </t>
  </si>
  <si>
    <t xml:space="preserve">華紙            </t>
  </si>
  <si>
    <t xml:space="preserve">立隆電          </t>
  </si>
  <si>
    <t xml:space="preserve">台壽保          </t>
  </si>
  <si>
    <t xml:space="preserve">2833A </t>
  </si>
  <si>
    <t xml:space="preserve">台壽甲          </t>
  </si>
  <si>
    <t xml:space="preserve">全漢            </t>
  </si>
  <si>
    <t>紅電醫</t>
  </si>
  <si>
    <t>F-泰鼎</t>
  </si>
  <si>
    <t>中菲</t>
  </si>
  <si>
    <t>翔昇</t>
  </si>
  <si>
    <t>松上</t>
  </si>
  <si>
    <t>精威</t>
  </si>
  <si>
    <t>冠華</t>
  </si>
  <si>
    <t>%</t>
  </si>
  <si>
    <t>PRS</t>
  </si>
  <si>
    <t>易福</t>
  </si>
  <si>
    <t>PRS</t>
    <phoneticPr fontId="2" type="noConversion"/>
  </si>
  <si>
    <t>PRS</t>
    <phoneticPr fontId="2" type="noConversion"/>
  </si>
  <si>
    <t>圖例&amp;說明</t>
    <phoneticPr fontId="2" type="noConversion"/>
  </si>
  <si>
    <t>營業活動現金  與  負債比</t>
    <phoneticPr fontId="2" type="noConversion"/>
  </si>
  <si>
    <t>每股盈餘</t>
    <phoneticPr fontId="2" type="noConversion"/>
  </si>
  <si>
    <t>每股資本支出</t>
    <phoneticPr fontId="2" type="noConversion"/>
  </si>
  <si>
    <t>資本支出  與  折舊率</t>
    <phoneticPr fontId="2" type="noConversion"/>
  </si>
  <si>
    <t>股名</t>
    <phoneticPr fontId="2" type="noConversion"/>
  </si>
  <si>
    <t>推估EPS</t>
    <phoneticPr fontId="2" type="noConversion"/>
  </si>
  <si>
    <t>PE</t>
    <phoneticPr fontId="2" type="noConversion"/>
  </si>
  <si>
    <t>PRICE</t>
    <phoneticPr fontId="2" type="noConversion"/>
  </si>
  <si>
    <t>利勤(4426)</t>
  </si>
  <si>
    <t>利勤（4426）</t>
  </si>
  <si>
    <t>儒鴻(1476)</t>
  </si>
  <si>
    <t>儒鴻（1476）</t>
  </si>
  <si>
    <t>聚陽(1477)</t>
  </si>
  <si>
    <t>聚陽（1477）</t>
  </si>
  <si>
    <t>儒鴻(1476)</t>
    <phoneticPr fontId="2" type="noConversion"/>
  </si>
  <si>
    <t>聚陽(1477)</t>
    <phoneticPr fontId="2" type="noConversion"/>
  </si>
  <si>
    <t xml:space="preserve">F-佐登          </t>
  </si>
  <si>
    <r>
      <t>買</t>
    </r>
    <r>
      <rPr>
        <sz val="12"/>
        <color theme="1"/>
        <rFont val="新細明體"/>
        <family val="2"/>
        <charset val="136"/>
        <scheme val="minor"/>
      </rPr>
      <t xml:space="preserve"> </t>
    </r>
    <r>
      <rPr>
        <sz val="12"/>
        <color rgb="FF009900"/>
        <rFont val="新細明體"/>
        <family val="1"/>
        <charset val="136"/>
        <scheme val="minor"/>
      </rPr>
      <t>賣</t>
    </r>
    <r>
      <rPr>
        <sz val="12"/>
        <color theme="1"/>
        <rFont val="新細明體"/>
        <family val="2"/>
        <charset val="136"/>
        <scheme val="minor"/>
      </rPr>
      <t xml:space="preserve"> </t>
    </r>
    <r>
      <rPr>
        <sz val="12"/>
        <color rgb="FF990066"/>
        <rFont val="新細明體"/>
        <family val="1"/>
        <charset val="136"/>
        <scheme val="minor"/>
      </rPr>
      <t>張</t>
    </r>
    <r>
      <rPr>
        <sz val="12"/>
        <color theme="1"/>
        <rFont val="新細明體"/>
        <family val="2"/>
        <charset val="136"/>
        <scheme val="minor"/>
      </rPr>
      <t xml:space="preserve"> </t>
    </r>
    <r>
      <rPr>
        <sz val="10"/>
        <color rgb="FF0000FF"/>
        <rFont val="Arial"/>
        <family val="2"/>
      </rPr>
      <t>零股交易</t>
    </r>
  </si>
  <si>
    <t>項目</t>
  </si>
  <si>
    <t>3日均價</t>
  </si>
  <si>
    <t>5日均價</t>
  </si>
  <si>
    <t>10日均價</t>
  </si>
  <si>
    <t>20日均價</t>
  </si>
  <si>
    <t>60日均價</t>
  </si>
  <si>
    <t>120日均價</t>
  </si>
  <si>
    <t>240日均價</t>
  </si>
  <si>
    <t>今日</t>
  </si>
  <si>
    <t>前市</t>
  </si>
  <si>
    <t>市場總值</t>
  </si>
  <si>
    <t>一年營業額</t>
  </si>
  <si>
    <t>PSR</t>
  </si>
  <si>
    <t>季線結構</t>
  </si>
  <si>
    <t>↗</t>
  </si>
  <si>
    <t>最新ㄧ季營業額</t>
  </si>
  <si>
    <t>推估本季營業額</t>
  </si>
  <si>
    <t>營業額差異</t>
  </si>
  <si>
    <t>YOY長率%</t>
  </si>
  <si>
    <t>最新營業利益率</t>
  </si>
  <si>
    <t>最新業內外比率</t>
  </si>
  <si>
    <t>流通股數</t>
  </si>
  <si>
    <t>最新ㄧ季本業EPS</t>
  </si>
  <si>
    <t>推估本季本業EPS</t>
  </si>
  <si>
    <t>推算未來年度EPS</t>
  </si>
  <si>
    <t>未來 PE</t>
  </si>
  <si>
    <t>上限: 2</t>
  </si>
  <si>
    <t>6213</t>
  </si>
  <si>
    <t>聯茂(6213)</t>
  </si>
  <si>
    <t>聯茂（6213）</t>
  </si>
  <si>
    <t>6213聯茂</t>
  </si>
  <si>
    <t xml:space="preserve">▽0.05 </t>
  </si>
  <si>
    <t xml:space="preserve">聯茂(6213)    市價：23.35  元    PE = </t>
    <phoneticPr fontId="2" type="noConversion"/>
  </si>
  <si>
    <t xml:space="preserve">聯茂(6213) </t>
  </si>
  <si>
    <t>聯茂(6213) 年度營收走勢圖</t>
  </si>
  <si>
    <t>聯茂(6213)月營收明細</t>
  </si>
  <si>
    <t>32億</t>
  </si>
  <si>
    <t>乖離 15 %</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</si>
</sst>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quot;$&quot;* #,##0.00_-;_-&quot;$&quot;* &quot;-&quot;??_-;_-@_-"/>
    <numFmt numFmtId="176" formatCode="_(* #,##0.00_);_(* \(#,##0.00\);_(* &quot;-&quot;??_);_(@_)"/>
    <numFmt numFmtId="177" formatCode="_-* #,##0_-;\-* #,##0_-;_-* &quot;-&quot;??_-;_-@_-"/>
    <numFmt numFmtId="178" formatCode="0_);[Red]\(0\)"/>
    <numFmt numFmtId="179" formatCode="0_ "/>
    <numFmt numFmtId="180" formatCode="#,##0_);[Red]\(#,##0\)"/>
    <numFmt numFmtId="181" formatCode="0.00_ "/>
    <numFmt numFmtId="182" formatCode="m&quot;月&quot;d&quot;日&quot;"/>
    <numFmt numFmtId="183" formatCode="_(* #,##0_);_(* \(#,##0\);_(* &quot;-&quot;??_);_(@_)"/>
    <numFmt numFmtId="184" formatCode="#,##0_ "/>
  </numFmts>
  <fonts count="51">
    <font>
      <sz val="12"/>
      <color theme="1"/>
      <name val="新細明體"/>
      <family val="2"/>
      <charset val="136"/>
      <scheme val="minor"/>
    </font>
    <font>
      <sz val="12"/>
      <color theme="1"/>
      <name val="新細明體"/>
      <family val="2"/>
      <charset val="136"/>
      <scheme val="minor"/>
    </font>
    <font>
      <sz val="9"/>
      <name val="新細明體"/>
      <family val="2"/>
      <charset val="136"/>
      <scheme val="minor"/>
    </font>
    <font>
      <b/>
      <sz val="12"/>
      <color theme="1"/>
      <name val="新細明體"/>
      <family val="1"/>
      <charset val="136"/>
      <scheme val="minor"/>
    </font>
    <font>
      <b/>
      <sz val="14"/>
      <color theme="1"/>
      <name val="新細明體"/>
      <family val="1"/>
      <charset val="136"/>
      <scheme val="minor"/>
    </font>
    <font>
      <u/>
      <sz val="12"/>
      <color theme="10"/>
      <name val="新細明體"/>
      <family val="2"/>
      <charset val="136"/>
      <scheme val="minor"/>
    </font>
    <font>
      <b/>
      <sz val="12"/>
      <color indexed="81"/>
      <name val="細明體"/>
      <family val="3"/>
      <charset val="136"/>
    </font>
    <font>
      <sz val="9"/>
      <color indexed="81"/>
      <name val="Tahoma"/>
      <family val="2"/>
    </font>
    <font>
      <b/>
      <sz val="9"/>
      <color indexed="81"/>
      <name val="Tahoma"/>
      <family val="2"/>
    </font>
    <font>
      <sz val="12"/>
      <color indexed="81"/>
      <name val="細明體"/>
      <family val="3"/>
      <charset val="136"/>
    </font>
    <font>
      <b/>
      <sz val="16"/>
      <color theme="1"/>
      <name val="新細明體"/>
      <family val="1"/>
      <charset val="136"/>
      <scheme val="minor"/>
    </font>
    <font>
      <sz val="12"/>
      <color indexed="81"/>
      <name val="Tahoma"/>
      <family val="2"/>
    </font>
    <font>
      <sz val="12"/>
      <color rgb="FF0000FF"/>
      <name val="新細明體"/>
      <family val="1"/>
      <charset val="136"/>
      <scheme val="minor"/>
    </font>
    <font>
      <sz val="10"/>
      <color rgb="FF0000FF"/>
      <name val="新細明體"/>
      <family val="1"/>
      <charset val="136"/>
      <scheme val="minor"/>
    </font>
    <font>
      <sz val="10"/>
      <color rgb="FF0000FF"/>
      <name val="繚s簡?穢繳?矇"/>
      <family val="3"/>
      <charset val="136"/>
    </font>
    <font>
      <sz val="10"/>
      <color rgb="FFFF0000"/>
      <name val="繚s簡?穢繳?矇"/>
      <family val="3"/>
      <charset val="136"/>
    </font>
    <font>
      <b/>
      <sz val="12"/>
      <color rgb="FF990066"/>
      <name val="新細明體"/>
      <family val="1"/>
      <charset val="136"/>
      <scheme val="minor"/>
    </font>
    <font>
      <sz val="12"/>
      <color rgb="FFFF0000"/>
      <name val="新細明體"/>
      <family val="1"/>
      <charset val="136"/>
      <scheme val="minor"/>
    </font>
    <font>
      <sz val="14"/>
      <color theme="1"/>
      <name val="新細明體"/>
      <family val="1"/>
      <charset val="136"/>
      <scheme val="minor"/>
    </font>
    <font>
      <sz val="12"/>
      <color rgb="FF009900"/>
      <name val="新細明體"/>
      <family val="1"/>
      <charset val="136"/>
      <scheme val="minor"/>
    </font>
    <font>
      <sz val="10"/>
      <color rgb="FF000000"/>
      <name val="繚s簡?穢繳?矇"/>
      <family val="3"/>
      <charset val="136"/>
    </font>
    <font>
      <sz val="12"/>
      <color rgb="FF990066"/>
      <name val="新細明體"/>
      <family val="1"/>
      <charset val="136"/>
      <scheme val="minor"/>
    </font>
    <font>
      <sz val="12"/>
      <color theme="1"/>
      <name val="新細明體"/>
      <family val="2"/>
      <scheme val="minor"/>
    </font>
    <font>
      <sz val="9"/>
      <name val="新細明體"/>
      <family val="3"/>
      <charset val="136"/>
      <scheme val="minor"/>
    </font>
    <font>
      <sz val="12"/>
      <color rgb="FFFF0000"/>
      <name val="新細明體"/>
      <family val="2"/>
      <scheme val="minor"/>
    </font>
    <font>
      <u/>
      <sz val="12"/>
      <color theme="10"/>
      <name val="新細明體"/>
      <family val="2"/>
      <scheme val="minor"/>
    </font>
    <font>
      <b/>
      <sz val="10"/>
      <color theme="1"/>
      <name val="Arial"/>
      <family val="2"/>
    </font>
    <font>
      <b/>
      <sz val="10"/>
      <color theme="1"/>
      <name val="新細明體"/>
      <family val="1"/>
      <charset val="136"/>
    </font>
    <font>
      <sz val="10"/>
      <color theme="1"/>
      <name val="Arial"/>
      <family val="2"/>
    </font>
    <font>
      <sz val="10"/>
      <color theme="1"/>
      <name val="細明體"/>
      <family val="3"/>
      <charset val="136"/>
    </font>
    <font>
      <b/>
      <sz val="12"/>
      <color theme="1"/>
      <name val="新細明體"/>
      <family val="2"/>
      <charset val="136"/>
      <scheme val="minor"/>
    </font>
    <font>
      <b/>
      <sz val="13"/>
      <color theme="1"/>
      <name val="新細明體"/>
      <family val="1"/>
      <charset val="136"/>
      <scheme val="minor"/>
    </font>
    <font>
      <b/>
      <sz val="13"/>
      <name val="新細明體"/>
      <family val="1"/>
      <charset val="136"/>
      <scheme val="minor"/>
    </font>
    <font>
      <b/>
      <sz val="13"/>
      <color rgb="FF0033CC"/>
      <name val="新細明體"/>
      <family val="1"/>
      <charset val="136"/>
      <scheme val="minor"/>
    </font>
    <font>
      <b/>
      <sz val="13"/>
      <color rgb="FFFF0000"/>
      <name val="新細明體"/>
      <family val="1"/>
      <charset val="136"/>
      <scheme val="minor"/>
    </font>
    <font>
      <b/>
      <sz val="13"/>
      <color rgb="FFFF9900"/>
      <name val="新細明體"/>
      <family val="1"/>
      <charset val="136"/>
      <scheme val="minor"/>
    </font>
    <font>
      <b/>
      <sz val="14"/>
      <color theme="0"/>
      <name val="新細明體"/>
      <family val="1"/>
      <charset val="136"/>
      <scheme val="minor"/>
    </font>
    <font>
      <sz val="14"/>
      <color theme="1"/>
      <name val="新細明體"/>
      <family val="2"/>
      <charset val="136"/>
      <scheme val="minor"/>
    </font>
    <font>
      <sz val="14"/>
      <color indexed="81"/>
      <name val="細明體"/>
      <family val="3"/>
      <charset val="136"/>
    </font>
    <font>
      <b/>
      <sz val="12"/>
      <color theme="1"/>
      <name val="Arial"/>
      <family val="2"/>
    </font>
    <font>
      <b/>
      <sz val="12"/>
      <color theme="1"/>
      <name val="新細明體"/>
      <family val="1"/>
      <charset val="136"/>
    </font>
    <font>
      <b/>
      <sz val="12"/>
      <color theme="1"/>
      <name val="細明體"/>
      <family val="3"/>
      <charset val="136"/>
    </font>
    <font>
      <b/>
      <sz val="18"/>
      <color theme="1"/>
      <name val="新細明體"/>
      <family val="1"/>
      <charset val="136"/>
      <scheme val="minor"/>
    </font>
    <font>
      <sz val="18"/>
      <color theme="1"/>
      <name val="新細明體"/>
      <family val="1"/>
      <charset val="136"/>
      <scheme val="minor"/>
    </font>
    <font>
      <sz val="12"/>
      <color theme="1"/>
      <name val="新細明體"/>
      <family val="1"/>
      <charset val="136"/>
    </font>
    <font>
      <b/>
      <sz val="12"/>
      <color theme="0"/>
      <name val="新細明體"/>
      <family val="1"/>
      <charset val="136"/>
      <scheme val="minor"/>
    </font>
    <font>
      <sz val="12"/>
      <color theme="0"/>
      <name val="新細明體"/>
      <family val="1"/>
      <charset val="136"/>
      <scheme val="minor"/>
    </font>
    <font>
      <sz val="12"/>
      <color theme="0"/>
      <name val="新細明體"/>
      <family val="2"/>
      <charset val="136"/>
      <scheme val="minor"/>
    </font>
    <font>
      <b/>
      <sz val="12"/>
      <color theme="0"/>
      <name val="新細明體"/>
      <family val="2"/>
      <charset val="136"/>
      <scheme val="minor"/>
    </font>
    <font>
      <b/>
      <sz val="14"/>
      <color theme="0"/>
      <name val="Adobe 繁黑體 Std B"/>
      <family val="2"/>
      <charset val="136"/>
    </font>
    <font>
      <sz val="10"/>
      <color rgb="FF0000FF"/>
      <name val="Arial"/>
      <family val="2"/>
    </font>
  </fonts>
  <fills count="25">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F0C1"/>
        <bgColor indexed="64"/>
      </patternFill>
    </fill>
    <fill>
      <patternFill patternType="solid">
        <fgColor rgb="FFFFFFFF"/>
        <bgColor indexed="64"/>
      </patternFill>
    </fill>
    <fill>
      <patternFill patternType="solid">
        <fgColor rgb="FFFDEDEF"/>
        <bgColor indexed="64"/>
      </patternFill>
    </fill>
    <fill>
      <patternFill patternType="solid">
        <fgColor rgb="FF92D050"/>
        <bgColor indexed="64"/>
      </patternFill>
    </fill>
    <fill>
      <patternFill patternType="solid">
        <fgColor theme="5" tint="0.59999389629810485"/>
        <bgColor indexed="64"/>
      </patternFill>
    </fill>
    <fill>
      <patternFill patternType="solid">
        <fgColor theme="1"/>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66"/>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8" tint="0.59999389629810485"/>
        <bgColor indexed="64"/>
      </patternFill>
    </fill>
  </fills>
  <borders count="4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rgb="FF000000"/>
      </top>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diagonal/>
    </border>
  </borders>
  <cellStyleXfs count="6">
    <xf numFmtId="0" fontId="0" fillId="0" borderId="0">
      <alignment vertical="center"/>
    </xf>
    <xf numFmtId="176" fontId="1" fillId="0" borderId="0" applyFont="0" applyFill="0" applyBorder="0" applyAlignment="0" applyProtection="0">
      <alignment vertical="center"/>
    </xf>
    <xf numFmtId="9" fontId="1" fillId="0" borderId="0" applyFont="0" applyFill="0" applyBorder="0" applyAlignment="0" applyProtection="0">
      <alignment vertical="center"/>
    </xf>
    <xf numFmtId="0" fontId="5" fillId="0" borderId="0" applyNumberFormat="0" applyFill="0" applyBorder="0" applyAlignment="0" applyProtection="0">
      <alignment vertical="center"/>
    </xf>
    <xf numFmtId="0" fontId="22" fillId="0" borderId="0"/>
    <xf numFmtId="0" fontId="25" fillId="0" borderId="0" applyNumberFormat="0" applyFill="0" applyBorder="0" applyAlignment="0" applyProtection="0"/>
  </cellStyleXfs>
  <cellXfs count="312">
    <xf numFmtId="0" fontId="0" fillId="0" borderId="0" xfId="0">
      <alignment vertical="center"/>
    </xf>
    <xf numFmtId="0" fontId="0" fillId="2" borderId="2" xfId="0" applyFill="1" applyBorder="1">
      <alignment vertical="center"/>
    </xf>
    <xf numFmtId="0" fontId="0" fillId="2" borderId="3" xfId="0" applyFill="1" applyBorder="1">
      <alignment vertical="center"/>
    </xf>
    <xf numFmtId="0" fontId="0" fillId="2" borderId="0" xfId="0" applyFill="1">
      <alignment vertical="center"/>
    </xf>
    <xf numFmtId="0" fontId="0" fillId="3" borderId="1" xfId="0" applyFill="1" applyBorder="1">
      <alignment vertical="center"/>
    </xf>
    <xf numFmtId="0" fontId="0" fillId="3" borderId="2" xfId="0" applyFill="1" applyBorder="1">
      <alignment vertical="center"/>
    </xf>
    <xf numFmtId="0" fontId="0" fillId="3" borderId="3" xfId="0" applyFill="1" applyBorder="1">
      <alignment vertical="center"/>
    </xf>
    <xf numFmtId="0" fontId="0" fillId="3" borderId="9" xfId="0" applyFill="1" applyBorder="1">
      <alignment vertical="center"/>
    </xf>
    <xf numFmtId="0" fontId="0" fillId="4" borderId="0" xfId="0" applyFill="1" applyBorder="1">
      <alignment vertical="center"/>
    </xf>
    <xf numFmtId="0" fontId="0" fillId="3" borderId="0" xfId="0" applyFill="1" applyBorder="1">
      <alignment vertical="center"/>
    </xf>
    <xf numFmtId="0" fontId="0" fillId="3" borderId="10" xfId="0" applyFill="1" applyBorder="1">
      <alignment vertical="center"/>
    </xf>
    <xf numFmtId="0" fontId="0" fillId="2" borderId="9" xfId="0" applyFill="1" applyBorder="1">
      <alignment vertical="center"/>
    </xf>
    <xf numFmtId="0" fontId="0" fillId="2" borderId="0" xfId="0" applyFill="1" applyBorder="1">
      <alignment vertical="center"/>
    </xf>
    <xf numFmtId="0" fontId="0" fillId="2" borderId="10" xfId="0" applyFill="1" applyBorder="1">
      <alignment vertical="center"/>
    </xf>
    <xf numFmtId="177" fontId="0" fillId="2" borderId="9" xfId="1" applyNumberFormat="1" applyFont="1" applyFill="1" applyBorder="1" applyAlignment="1">
      <alignment horizontal="center" vertical="center"/>
    </xf>
    <xf numFmtId="177" fontId="0" fillId="2" borderId="0" xfId="1" applyNumberFormat="1" applyFont="1" applyFill="1" applyBorder="1" applyAlignment="1">
      <alignment horizontal="center" vertical="center"/>
    </xf>
    <xf numFmtId="179" fontId="0" fillId="2" borderId="0" xfId="2" applyNumberFormat="1" applyFont="1" applyFill="1" applyBorder="1" applyAlignment="1">
      <alignment vertical="center"/>
    </xf>
    <xf numFmtId="0" fontId="0" fillId="3" borderId="17" xfId="0" applyFill="1" applyBorder="1">
      <alignment vertical="center"/>
    </xf>
    <xf numFmtId="0" fontId="0" fillId="3" borderId="18" xfId="0" applyFill="1" applyBorder="1">
      <alignment vertical="center"/>
    </xf>
    <xf numFmtId="0" fontId="0" fillId="3" borderId="19" xfId="0" applyFill="1" applyBorder="1">
      <alignment vertical="center"/>
    </xf>
    <xf numFmtId="0" fontId="0" fillId="0" borderId="2" xfId="0" applyFill="1" applyBorder="1">
      <alignment vertical="center"/>
    </xf>
    <xf numFmtId="3" fontId="0" fillId="2" borderId="0" xfId="0" applyNumberFormat="1" applyFill="1">
      <alignment vertical="center"/>
    </xf>
    <xf numFmtId="0" fontId="14" fillId="0" borderId="30" xfId="0" applyFont="1" applyBorder="1" applyAlignment="1">
      <alignment horizontal="center" vertical="center" wrapText="1"/>
    </xf>
    <xf numFmtId="0" fontId="12" fillId="0" borderId="28" xfId="3" applyFont="1" applyBorder="1" applyAlignment="1">
      <alignment horizontal="center" vertical="center" wrapText="1"/>
    </xf>
    <xf numFmtId="0" fontId="13" fillId="0" borderId="30" xfId="3" applyFont="1" applyBorder="1" applyAlignment="1">
      <alignment horizontal="center" vertical="center" wrapText="1"/>
    </xf>
    <xf numFmtId="0" fontId="12" fillId="0" borderId="29" xfId="3" applyFont="1" applyBorder="1" applyAlignment="1">
      <alignment horizontal="center" vertical="center" wrapText="1"/>
    </xf>
    <xf numFmtId="0" fontId="14" fillId="0" borderId="28" xfId="3" applyFont="1" applyBorder="1" applyAlignment="1">
      <alignment horizontal="center" vertical="center" wrapText="1"/>
    </xf>
    <xf numFmtId="0" fontId="15" fillId="0" borderId="29" xfId="3" applyFont="1" applyBorder="1" applyAlignment="1">
      <alignment horizontal="center" vertical="center" wrapText="1"/>
    </xf>
    <xf numFmtId="179" fontId="4" fillId="7" borderId="14" xfId="0" applyNumberFormat="1" applyFont="1" applyFill="1" applyBorder="1" applyAlignment="1">
      <alignment horizontal="center" vertical="center"/>
    </xf>
    <xf numFmtId="179" fontId="4" fillId="7" borderId="15" xfId="0" applyNumberFormat="1" applyFont="1" applyFill="1" applyBorder="1" applyAlignment="1">
      <alignment horizontal="center" vertical="center"/>
    </xf>
    <xf numFmtId="179" fontId="4" fillId="7" borderId="23" xfId="0" applyNumberFormat="1" applyFont="1" applyFill="1" applyBorder="1" applyAlignment="1">
      <alignment horizontal="center" vertical="center"/>
    </xf>
    <xf numFmtId="179" fontId="4" fillId="8" borderId="14" xfId="0" applyNumberFormat="1" applyFont="1" applyFill="1" applyBorder="1" applyAlignment="1">
      <alignment horizontal="center" vertical="center"/>
    </xf>
    <xf numFmtId="179" fontId="4" fillId="8" borderId="23" xfId="0" applyNumberFormat="1" applyFont="1" applyFill="1" applyBorder="1" applyAlignment="1">
      <alignment horizontal="center" vertical="center"/>
    </xf>
    <xf numFmtId="179" fontId="4" fillId="6" borderId="14" xfId="0" applyNumberFormat="1" applyFont="1" applyFill="1" applyBorder="1" applyAlignment="1">
      <alignment horizontal="center" vertical="center"/>
    </xf>
    <xf numFmtId="179" fontId="4" fillId="6" borderId="23" xfId="0" applyNumberFormat="1" applyFont="1" applyFill="1" applyBorder="1" applyAlignment="1">
      <alignment horizontal="center" vertical="center"/>
    </xf>
    <xf numFmtId="179" fontId="4" fillId="6" borderId="25" xfId="0" applyNumberFormat="1" applyFont="1" applyFill="1" applyBorder="1" applyAlignment="1">
      <alignment horizontal="center" vertical="center"/>
    </xf>
    <xf numFmtId="0" fontId="4" fillId="6" borderId="19" xfId="0" applyFont="1" applyFill="1" applyBorder="1" applyAlignment="1">
      <alignment horizontal="center" vertical="center"/>
    </xf>
    <xf numFmtId="0" fontId="18" fillId="0" borderId="0" xfId="0" applyFont="1">
      <alignment vertical="center"/>
    </xf>
    <xf numFmtId="176" fontId="18" fillId="0" borderId="0" xfId="1" applyFont="1">
      <alignment vertical="center"/>
    </xf>
    <xf numFmtId="0" fontId="18" fillId="0" borderId="0" xfId="0" applyFont="1" applyAlignment="1">
      <alignment horizontal="center" vertical="center"/>
    </xf>
    <xf numFmtId="178" fontId="4" fillId="6" borderId="14" xfId="0" applyNumberFormat="1" applyFont="1" applyFill="1" applyBorder="1" applyAlignment="1">
      <alignment horizontal="center" vertical="center"/>
    </xf>
    <xf numFmtId="0" fontId="4" fillId="6" borderId="23" xfId="0" applyFont="1" applyFill="1" applyBorder="1" applyAlignment="1">
      <alignment vertical="center"/>
    </xf>
    <xf numFmtId="0" fontId="4" fillId="0" borderId="0" xfId="0" applyFont="1">
      <alignment vertical="center"/>
    </xf>
    <xf numFmtId="0" fontId="10" fillId="5" borderId="2" xfId="0" applyFont="1" applyFill="1" applyBorder="1" applyAlignment="1">
      <alignment horizontal="left" vertical="center"/>
    </xf>
    <xf numFmtId="176" fontId="10" fillId="5" borderId="2" xfId="1" applyFont="1" applyFill="1" applyBorder="1" applyAlignment="1">
      <alignment vertical="center"/>
    </xf>
    <xf numFmtId="0" fontId="10" fillId="5" borderId="34" xfId="0" applyFont="1" applyFill="1" applyBorder="1" applyAlignment="1">
      <alignment vertical="center"/>
    </xf>
    <xf numFmtId="0" fontId="0" fillId="2" borderId="0" xfId="0" applyFill="1" applyBorder="1" applyAlignment="1">
      <alignment vertical="center"/>
    </xf>
    <xf numFmtId="0" fontId="0" fillId="2" borderId="10" xfId="0" applyFill="1" applyBorder="1" applyAlignment="1">
      <alignment vertical="center"/>
    </xf>
    <xf numFmtId="0" fontId="0" fillId="2" borderId="18" xfId="0" applyFill="1" applyBorder="1" applyAlignment="1">
      <alignment vertical="center"/>
    </xf>
    <xf numFmtId="0" fontId="0" fillId="2" borderId="19" xfId="0" applyFill="1" applyBorder="1" applyAlignment="1">
      <alignment vertical="center"/>
    </xf>
    <xf numFmtId="0" fontId="0" fillId="2" borderId="1" xfId="0" applyFill="1" applyBorder="1">
      <alignment vertical="center"/>
    </xf>
    <xf numFmtId="178" fontId="0" fillId="2" borderId="9" xfId="2" applyNumberFormat="1" applyFont="1" applyFill="1" applyBorder="1" applyAlignment="1">
      <alignment vertical="center"/>
    </xf>
    <xf numFmtId="179" fontId="0" fillId="2" borderId="9" xfId="2" applyNumberFormat="1" applyFont="1" applyFill="1" applyBorder="1" applyAlignment="1">
      <alignment horizontal="center" vertical="center"/>
    </xf>
    <xf numFmtId="0" fontId="0" fillId="2" borderId="9" xfId="0" applyFill="1" applyBorder="1" applyAlignment="1">
      <alignment vertical="center"/>
    </xf>
    <xf numFmtId="0" fontId="0" fillId="2" borderId="17" xfId="0" applyFill="1" applyBorder="1" applyAlignment="1">
      <alignment vertical="center"/>
    </xf>
    <xf numFmtId="0" fontId="5" fillId="0" borderId="0" xfId="3" applyAlignment="1">
      <alignment horizontal="center" vertical="center"/>
    </xf>
    <xf numFmtId="0" fontId="0" fillId="0" borderId="0" xfId="0" applyFill="1" applyAlignment="1">
      <alignment horizontal="center" vertical="center"/>
    </xf>
    <xf numFmtId="0" fontId="22" fillId="0" borderId="0" xfId="4"/>
    <xf numFmtId="0" fontId="24" fillId="0" borderId="0" xfId="4" applyFont="1"/>
    <xf numFmtId="0" fontId="25" fillId="13" borderId="0" xfId="5" applyFill="1"/>
    <xf numFmtId="0" fontId="26" fillId="0" borderId="0" xfId="4" applyFont="1" applyAlignment="1">
      <alignment horizontal="center" vertical="center"/>
    </xf>
    <xf numFmtId="0" fontId="28" fillId="0" borderId="0" xfId="4" applyFont="1"/>
    <xf numFmtId="0" fontId="29" fillId="0" borderId="0" xfId="4" applyFont="1"/>
    <xf numFmtId="0" fontId="28" fillId="0" borderId="0" xfId="4" applyFont="1" applyAlignment="1">
      <alignment horizontal="center"/>
    </xf>
    <xf numFmtId="0" fontId="22" fillId="9" borderId="12" xfId="4" applyFill="1" applyBorder="1"/>
    <xf numFmtId="10" fontId="22" fillId="9" borderId="12" xfId="2" applyNumberFormat="1" applyFont="1" applyFill="1" applyBorder="1" applyAlignment="1"/>
    <xf numFmtId="0" fontId="22" fillId="14" borderId="12" xfId="4" applyFill="1" applyBorder="1"/>
    <xf numFmtId="10" fontId="22" fillId="14" borderId="12" xfId="2" applyNumberFormat="1" applyFont="1" applyFill="1" applyBorder="1" applyAlignment="1"/>
    <xf numFmtId="0" fontId="0" fillId="0" borderId="0" xfId="0" applyFont="1" applyFill="1">
      <alignment vertical="center"/>
    </xf>
    <xf numFmtId="0" fontId="31" fillId="2" borderId="0" xfId="0" applyFont="1" applyFill="1" applyAlignment="1">
      <alignment horizontal="left" vertical="center"/>
    </xf>
    <xf numFmtId="0" fontId="32" fillId="2" borderId="0" xfId="0" applyFont="1" applyFill="1" applyAlignment="1" applyProtection="1">
      <alignment horizontal="left" vertical="center"/>
      <protection locked="0"/>
    </xf>
    <xf numFmtId="0" fontId="31" fillId="2" borderId="0" xfId="0" applyFont="1" applyFill="1">
      <alignment vertical="center"/>
    </xf>
    <xf numFmtId="0" fontId="31" fillId="15" borderId="0" xfId="0" applyFont="1" applyFill="1">
      <alignment vertical="center"/>
    </xf>
    <xf numFmtId="0" fontId="33" fillId="15" borderId="0" xfId="0" applyFont="1" applyFill="1" applyAlignment="1" applyProtection="1">
      <alignment horizontal="center" vertical="center"/>
      <protection locked="0"/>
    </xf>
    <xf numFmtId="0" fontId="34" fillId="15" borderId="0" xfId="0" applyFont="1" applyFill="1" applyAlignment="1" applyProtection="1">
      <alignment horizontal="center" vertical="center"/>
      <protection locked="0"/>
    </xf>
    <xf numFmtId="0" fontId="35" fillId="15" borderId="0" xfId="0" applyFont="1" applyFill="1" applyAlignment="1" applyProtection="1">
      <alignment horizontal="center" vertical="center"/>
      <protection locked="0"/>
    </xf>
    <xf numFmtId="0" fontId="0" fillId="15" borderId="9" xfId="0" applyFill="1" applyBorder="1">
      <alignment vertical="center"/>
    </xf>
    <xf numFmtId="0" fontId="0" fillId="15" borderId="0" xfId="0" applyFill="1" applyBorder="1">
      <alignment vertical="center"/>
    </xf>
    <xf numFmtId="0" fontId="0" fillId="15" borderId="10" xfId="0" applyFill="1" applyBorder="1">
      <alignment vertical="center"/>
    </xf>
    <xf numFmtId="0" fontId="0" fillId="15" borderId="0" xfId="0" applyFill="1">
      <alignment vertical="center"/>
    </xf>
    <xf numFmtId="0" fontId="0" fillId="15" borderId="0" xfId="0" applyFill="1" applyAlignment="1">
      <alignment horizontal="center" vertical="center"/>
    </xf>
    <xf numFmtId="0" fontId="0" fillId="2" borderId="0" xfId="0" applyFill="1" applyAlignment="1">
      <alignment horizontal="center" vertical="center"/>
    </xf>
    <xf numFmtId="0" fontId="0" fillId="9" borderId="0" xfId="0" applyFill="1">
      <alignment vertical="center"/>
    </xf>
    <xf numFmtId="3" fontId="0" fillId="0" borderId="0" xfId="0" applyNumberFormat="1">
      <alignment vertical="center"/>
    </xf>
    <xf numFmtId="0" fontId="22" fillId="20" borderId="12" xfId="4" applyFill="1" applyBorder="1"/>
    <xf numFmtId="10" fontId="0" fillId="0" borderId="0" xfId="0" applyNumberFormat="1">
      <alignment vertical="center"/>
    </xf>
    <xf numFmtId="0" fontId="37" fillId="9" borderId="0" xfId="0" applyFont="1" applyFill="1" applyAlignment="1">
      <alignment horizontal="center"/>
    </xf>
    <xf numFmtId="0" fontId="18" fillId="9" borderId="0" xfId="0" applyFont="1" applyFill="1" applyAlignment="1">
      <alignment horizontal="center"/>
    </xf>
    <xf numFmtId="0" fontId="18" fillId="9" borderId="0" xfId="0" applyFont="1" applyFill="1" applyAlignment="1">
      <alignment horizontal="center" wrapText="1"/>
    </xf>
    <xf numFmtId="176" fontId="18" fillId="9" borderId="0" xfId="1" applyFont="1" applyFill="1" applyAlignment="1">
      <alignment horizontal="center" wrapText="1"/>
    </xf>
    <xf numFmtId="182" fontId="0" fillId="0" borderId="0" xfId="0" applyNumberFormat="1" applyFont="1" applyFill="1">
      <alignment vertical="center"/>
    </xf>
    <xf numFmtId="176" fontId="28" fillId="0" borderId="0" xfId="1" applyFont="1" applyAlignment="1">
      <alignment horizontal="center"/>
    </xf>
    <xf numFmtId="9" fontId="28" fillId="0" borderId="0" xfId="2" applyNumberFormat="1" applyFont="1" applyAlignment="1">
      <alignment horizontal="right"/>
    </xf>
    <xf numFmtId="183" fontId="28" fillId="0" borderId="0" xfId="1" applyNumberFormat="1" applyFont="1" applyAlignment="1">
      <alignment horizontal="center"/>
    </xf>
    <xf numFmtId="184" fontId="28" fillId="0" borderId="0" xfId="2" applyNumberFormat="1" applyFont="1" applyAlignment="1">
      <alignment horizontal="right"/>
    </xf>
    <xf numFmtId="183" fontId="28" fillId="0" borderId="0" xfId="1" applyNumberFormat="1" applyFont="1" applyFill="1" applyAlignment="1">
      <alignment horizontal="center"/>
    </xf>
    <xf numFmtId="9" fontId="41" fillId="0" borderId="12" xfId="2" applyNumberFormat="1" applyFont="1" applyBorder="1" applyAlignment="1">
      <alignment horizontal="center" vertical="center" wrapText="1"/>
    </xf>
    <xf numFmtId="184" fontId="41" fillId="0" borderId="12" xfId="2" applyNumberFormat="1" applyFont="1" applyBorder="1" applyAlignment="1">
      <alignment horizontal="center" vertical="center" wrapText="1"/>
    </xf>
    <xf numFmtId="176" fontId="41" fillId="0" borderId="12" xfId="1" applyFont="1" applyBorder="1" applyAlignment="1">
      <alignment horizontal="center" vertical="center" wrapText="1"/>
    </xf>
    <xf numFmtId="183" fontId="41" fillId="0" borderId="12" xfId="1" applyNumberFormat="1" applyFont="1" applyBorder="1" applyAlignment="1">
      <alignment horizontal="center" vertical="center" wrapText="1"/>
    </xf>
    <xf numFmtId="183" fontId="40" fillId="0" borderId="12" xfId="1" applyNumberFormat="1" applyFont="1" applyBorder="1" applyAlignment="1">
      <alignment horizontal="center" vertical="center"/>
    </xf>
    <xf numFmtId="178" fontId="18" fillId="0" borderId="0" xfId="2" applyNumberFormat="1" applyFont="1" applyAlignment="1">
      <alignment horizontal="center" vertical="center"/>
    </xf>
    <xf numFmtId="0" fontId="42" fillId="6" borderId="22" xfId="0" applyFont="1" applyFill="1" applyBorder="1" applyAlignment="1">
      <alignment horizontal="center" vertical="center"/>
    </xf>
    <xf numFmtId="0" fontId="43" fillId="0" borderId="0" xfId="0" applyFont="1">
      <alignment vertical="center"/>
    </xf>
    <xf numFmtId="176" fontId="29" fillId="0" borderId="0" xfId="1" applyFont="1" applyAlignment="1">
      <alignment horizontal="center"/>
    </xf>
    <xf numFmtId="176" fontId="4" fillId="21" borderId="23" xfId="1" applyFont="1" applyFill="1" applyBorder="1" applyAlignment="1">
      <alignment horizontal="center" vertical="center"/>
    </xf>
    <xf numFmtId="176" fontId="4" fillId="21" borderId="16" xfId="1" applyFont="1" applyFill="1" applyBorder="1" applyAlignment="1">
      <alignment horizontal="center" vertical="center"/>
    </xf>
    <xf numFmtId="14" fontId="3" fillId="0" borderId="0" xfId="0" applyNumberFormat="1" applyFont="1">
      <alignment vertical="center"/>
    </xf>
    <xf numFmtId="176" fontId="10" fillId="5" borderId="2" xfId="1" applyFont="1" applyFill="1" applyBorder="1" applyAlignment="1">
      <alignment horizontal="left" vertical="center"/>
    </xf>
    <xf numFmtId="0" fontId="5" fillId="0" borderId="0" xfId="3">
      <alignment vertical="center"/>
    </xf>
    <xf numFmtId="0" fontId="3" fillId="0" borderId="0" xfId="0" applyFont="1" applyAlignment="1">
      <alignment horizontal="center" vertical="center"/>
    </xf>
    <xf numFmtId="0" fontId="3" fillId="0" borderId="12" xfId="0" applyFont="1" applyBorder="1" applyAlignment="1">
      <alignment horizontal="center" vertical="center"/>
    </xf>
    <xf numFmtId="0" fontId="40" fillId="0" borderId="12" xfId="0" applyFont="1" applyBorder="1" applyAlignment="1">
      <alignment horizontal="center" vertical="center"/>
    </xf>
    <xf numFmtId="4" fontId="0" fillId="0" borderId="0" xfId="0" applyNumberFormat="1">
      <alignment vertical="center"/>
    </xf>
    <xf numFmtId="4" fontId="0" fillId="9" borderId="0" xfId="0" applyNumberFormat="1" applyFill="1">
      <alignment vertical="center"/>
    </xf>
    <xf numFmtId="179" fontId="39" fillId="0" borderId="12" xfId="4" applyNumberFormat="1" applyFont="1" applyBorder="1" applyAlignment="1">
      <alignment horizontal="center" vertical="center"/>
    </xf>
    <xf numFmtId="179" fontId="28" fillId="0" borderId="0" xfId="4" applyNumberFormat="1" applyFont="1" applyAlignment="1">
      <alignment horizontal="center"/>
    </xf>
    <xf numFmtId="176" fontId="0" fillId="0" borderId="0" xfId="1" applyFont="1" applyFill="1" applyAlignment="1">
      <alignment horizontal="right" vertical="center"/>
    </xf>
    <xf numFmtId="176" fontId="3" fillId="0" borderId="12" xfId="1" applyFont="1" applyFill="1" applyBorder="1" applyAlignment="1">
      <alignment horizontal="center" vertical="center"/>
    </xf>
    <xf numFmtId="17" fontId="0" fillId="0" borderId="0" xfId="0" applyNumberFormat="1">
      <alignment vertical="center"/>
    </xf>
    <xf numFmtId="44" fontId="0" fillId="0" borderId="0" xfId="0" applyNumberFormat="1">
      <alignment vertical="center"/>
    </xf>
    <xf numFmtId="176" fontId="4" fillId="21" borderId="39" xfId="1" applyFont="1" applyFill="1" applyBorder="1" applyAlignment="1">
      <alignment horizontal="center" vertical="center"/>
    </xf>
    <xf numFmtId="0" fontId="4" fillId="21" borderId="7" xfId="0" applyFont="1" applyFill="1" applyBorder="1" applyAlignment="1">
      <alignment vertical="center"/>
    </xf>
    <xf numFmtId="0" fontId="4" fillId="21" borderId="38" xfId="0" applyFont="1" applyFill="1" applyBorder="1" applyAlignment="1">
      <alignment vertical="center"/>
    </xf>
    <xf numFmtId="178" fontId="4" fillId="7" borderId="7" xfId="2" applyNumberFormat="1" applyFont="1" applyFill="1" applyBorder="1" applyAlignment="1">
      <alignment vertical="center"/>
    </xf>
    <xf numFmtId="0" fontId="3" fillId="21" borderId="12" xfId="0" applyFont="1" applyFill="1" applyBorder="1">
      <alignment vertical="center"/>
    </xf>
    <xf numFmtId="183" fontId="3" fillId="21" borderId="12" xfId="1" applyNumberFormat="1" applyFont="1" applyFill="1" applyBorder="1">
      <alignment vertical="center"/>
    </xf>
    <xf numFmtId="10" fontId="3" fillId="21" borderId="12" xfId="0" applyNumberFormat="1" applyFont="1" applyFill="1" applyBorder="1">
      <alignment vertical="center"/>
    </xf>
    <xf numFmtId="176" fontId="3" fillId="21" borderId="12" xfId="1" applyFont="1" applyFill="1" applyBorder="1">
      <alignment vertical="center"/>
    </xf>
    <xf numFmtId="176" fontId="3" fillId="21" borderId="12" xfId="1" applyNumberFormat="1" applyFont="1" applyFill="1" applyBorder="1">
      <alignment vertical="center"/>
    </xf>
    <xf numFmtId="0" fontId="4" fillId="0" borderId="40" xfId="0" applyFont="1" applyBorder="1" applyAlignment="1">
      <alignment horizontal="center" vertical="center"/>
    </xf>
    <xf numFmtId="0" fontId="3" fillId="21" borderId="37" xfId="0" applyFont="1" applyFill="1" applyBorder="1">
      <alignment vertical="center"/>
    </xf>
    <xf numFmtId="183" fontId="3" fillId="21" borderId="37" xfId="1" applyNumberFormat="1" applyFont="1" applyFill="1" applyBorder="1">
      <alignment vertical="center"/>
    </xf>
    <xf numFmtId="0" fontId="0" fillId="0" borderId="4" xfId="0" applyBorder="1">
      <alignment vertical="center"/>
    </xf>
    <xf numFmtId="0" fontId="0" fillId="0" borderId="5" xfId="0" applyBorder="1">
      <alignment vertical="center"/>
    </xf>
    <xf numFmtId="0" fontId="0" fillId="0" borderId="34" xfId="0" applyBorder="1">
      <alignment vertical="center"/>
    </xf>
    <xf numFmtId="0" fontId="5" fillId="0" borderId="0" xfId="3" applyAlignment="1">
      <alignment horizontal="center" vertical="center"/>
    </xf>
    <xf numFmtId="3" fontId="5" fillId="0" borderId="0" xfId="3" applyNumberFormat="1" applyAlignment="1">
      <alignment horizontal="center" vertical="center"/>
    </xf>
    <xf numFmtId="10" fontId="5" fillId="0" borderId="0" xfId="3" applyNumberFormat="1" applyAlignment="1">
      <alignment horizontal="center" vertical="center"/>
    </xf>
    <xf numFmtId="0" fontId="12" fillId="0" borderId="30" xfId="3" applyFont="1" applyBorder="1" applyAlignment="1">
      <alignment horizontal="center" vertical="center" wrapText="1"/>
    </xf>
    <xf numFmtId="0" fontId="16" fillId="12" borderId="27" xfId="3" applyFont="1" applyFill="1" applyBorder="1" applyAlignment="1">
      <alignment horizontal="center" vertical="center"/>
    </xf>
    <xf numFmtId="3" fontId="0" fillId="0" borderId="0" xfId="0" applyNumberFormat="1" applyFont="1" applyFill="1">
      <alignment vertical="center"/>
    </xf>
    <xf numFmtId="10" fontId="0" fillId="0" borderId="0" xfId="0" applyNumberFormat="1" applyFont="1" applyFill="1">
      <alignment vertical="center"/>
    </xf>
    <xf numFmtId="2" fontId="3" fillId="21" borderId="12" xfId="1" applyNumberFormat="1" applyFont="1" applyFill="1" applyBorder="1" applyAlignment="1">
      <alignment horizontal="left" vertical="center"/>
    </xf>
    <xf numFmtId="9" fontId="0" fillId="2" borderId="9" xfId="2" applyFont="1" applyFill="1" applyBorder="1" applyAlignment="1">
      <alignment horizontal="center" vertical="center"/>
    </xf>
    <xf numFmtId="9" fontId="0" fillId="2" borderId="0" xfId="2" applyFont="1" applyFill="1" applyBorder="1" applyAlignment="1">
      <alignment horizontal="center" vertical="center"/>
    </xf>
    <xf numFmtId="0" fontId="4" fillId="0" borderId="1" xfId="0" applyFont="1" applyFill="1" applyBorder="1" applyAlignment="1">
      <alignment horizontal="center" vertical="center"/>
    </xf>
    <xf numFmtId="0" fontId="3" fillId="0" borderId="21" xfId="0" applyFont="1" applyFill="1" applyBorder="1">
      <alignment vertical="center"/>
    </xf>
    <xf numFmtId="0" fontId="3" fillId="0" borderId="41" xfId="0" applyFont="1" applyFill="1" applyBorder="1">
      <alignment vertical="center"/>
    </xf>
    <xf numFmtId="0" fontId="3" fillId="0" borderId="42" xfId="0" applyFont="1" applyFill="1" applyBorder="1">
      <alignment vertical="center"/>
    </xf>
    <xf numFmtId="0" fontId="3" fillId="0" borderId="41" xfId="0" applyFont="1" applyFill="1" applyBorder="1" applyAlignment="1">
      <alignment vertical="center"/>
    </xf>
    <xf numFmtId="0" fontId="3" fillId="0" borderId="42" xfId="0" applyFont="1" applyFill="1" applyBorder="1" applyAlignment="1">
      <alignment horizontal="left" vertical="center"/>
    </xf>
    <xf numFmtId="0" fontId="3" fillId="0" borderId="26" xfId="0" applyFont="1" applyFill="1" applyBorder="1" applyAlignment="1">
      <alignment vertical="center"/>
    </xf>
    <xf numFmtId="0" fontId="4" fillId="0" borderId="44" xfId="0" applyFont="1" applyFill="1" applyBorder="1" applyAlignment="1">
      <alignment horizontal="center" vertical="center"/>
    </xf>
    <xf numFmtId="0" fontId="4" fillId="0" borderId="8" xfId="0" applyFont="1" applyFill="1" applyBorder="1" applyAlignment="1">
      <alignment horizontal="center" vertical="center"/>
    </xf>
    <xf numFmtId="0" fontId="4" fillId="0" borderId="6" xfId="0" applyFont="1" applyFill="1" applyBorder="1" applyAlignment="1">
      <alignment horizontal="center" vertical="center"/>
    </xf>
    <xf numFmtId="0" fontId="4" fillId="0" borderId="2" xfId="0" applyFont="1" applyFill="1" applyBorder="1" applyAlignment="1">
      <alignment vertical="center"/>
    </xf>
    <xf numFmtId="0" fontId="46" fillId="2" borderId="0" xfId="0" applyFont="1" applyFill="1" applyBorder="1">
      <alignment vertical="center"/>
    </xf>
    <xf numFmtId="9" fontId="46" fillId="2" borderId="0" xfId="2" applyFont="1" applyFill="1" applyBorder="1">
      <alignment vertical="center"/>
    </xf>
    <xf numFmtId="178" fontId="46" fillId="2" borderId="0" xfId="0" applyNumberFormat="1" applyFont="1" applyFill="1" applyBorder="1">
      <alignment vertical="center"/>
    </xf>
    <xf numFmtId="178" fontId="46" fillId="2" borderId="0" xfId="2" applyNumberFormat="1" applyFont="1" applyFill="1" applyBorder="1">
      <alignment vertical="center"/>
    </xf>
    <xf numFmtId="180" fontId="46" fillId="2" borderId="0" xfId="2" applyNumberFormat="1" applyFont="1" applyFill="1" applyBorder="1">
      <alignment vertical="center"/>
    </xf>
    <xf numFmtId="9" fontId="46" fillId="2" borderId="0" xfId="2" applyFont="1" applyFill="1" applyBorder="1" applyAlignment="1">
      <alignment vertical="center"/>
    </xf>
    <xf numFmtId="181" fontId="46" fillId="2" borderId="0" xfId="0" applyNumberFormat="1" applyFont="1" applyFill="1" applyBorder="1">
      <alignment vertical="center"/>
    </xf>
    <xf numFmtId="179" fontId="46" fillId="2" borderId="0" xfId="2" applyNumberFormat="1" applyFont="1" applyFill="1" applyBorder="1">
      <alignment vertical="center"/>
    </xf>
    <xf numFmtId="0" fontId="0" fillId="15" borderId="17" xfId="0" applyFill="1" applyBorder="1">
      <alignment vertical="center"/>
    </xf>
    <xf numFmtId="0" fontId="0" fillId="15" borderId="18" xfId="0" applyFill="1" applyBorder="1">
      <alignment vertical="center"/>
    </xf>
    <xf numFmtId="0" fontId="0" fillId="15" borderId="19" xfId="0" applyFill="1" applyBorder="1">
      <alignment vertical="center"/>
    </xf>
    <xf numFmtId="0" fontId="47" fillId="15" borderId="9" xfId="0" applyFont="1" applyFill="1" applyBorder="1">
      <alignment vertical="center"/>
    </xf>
    <xf numFmtId="0" fontId="47" fillId="15" borderId="0" xfId="0" applyFont="1" applyFill="1" applyBorder="1">
      <alignment vertical="center"/>
    </xf>
    <xf numFmtId="0" fontId="47" fillId="15" borderId="10" xfId="0" applyFont="1" applyFill="1" applyBorder="1">
      <alignment vertical="center"/>
    </xf>
    <xf numFmtId="0" fontId="47" fillId="15" borderId="17" xfId="0" applyFont="1" applyFill="1" applyBorder="1">
      <alignment vertical="center"/>
    </xf>
    <xf numFmtId="0" fontId="47" fillId="15" borderId="18" xfId="0" applyFont="1" applyFill="1" applyBorder="1">
      <alignment vertical="center"/>
    </xf>
    <xf numFmtId="0" fontId="47" fillId="15" borderId="19" xfId="0" applyFont="1" applyFill="1" applyBorder="1">
      <alignment vertical="center"/>
    </xf>
    <xf numFmtId="0" fontId="47" fillId="15" borderId="1" xfId="0" applyFont="1" applyFill="1" applyBorder="1">
      <alignment vertical="center"/>
    </xf>
    <xf numFmtId="0" fontId="47" fillId="15" borderId="2" xfId="0" applyFont="1" applyFill="1" applyBorder="1">
      <alignment vertical="center"/>
    </xf>
    <xf numFmtId="0" fontId="47" fillId="15" borderId="3" xfId="0" applyFont="1" applyFill="1" applyBorder="1">
      <alignment vertical="center"/>
    </xf>
    <xf numFmtId="9" fontId="47" fillId="15" borderId="0" xfId="2" applyFont="1" applyFill="1" applyBorder="1">
      <alignment vertical="center"/>
    </xf>
    <xf numFmtId="14" fontId="0" fillId="0" borderId="0" xfId="0" applyNumberFormat="1">
      <alignment vertical="center"/>
    </xf>
    <xf numFmtId="0" fontId="5" fillId="0" borderId="0" xfId="3" applyAlignment="1">
      <alignment horizontal="center" vertical="center"/>
    </xf>
    <xf numFmtId="178" fontId="4" fillId="7" borderId="38" xfId="2" applyNumberFormat="1" applyFont="1" applyFill="1" applyBorder="1" applyAlignment="1">
      <alignment horizontal="center" vertical="center"/>
    </xf>
    <xf numFmtId="0" fontId="0" fillId="9" borderId="12" xfId="0" applyFill="1" applyBorder="1">
      <alignment vertical="center"/>
    </xf>
    <xf numFmtId="0" fontId="0" fillId="14"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4" borderId="12" xfId="0" applyFill="1" applyBorder="1">
      <alignment vertical="center"/>
    </xf>
    <xf numFmtId="0" fontId="0" fillId="23" borderId="12" xfId="0" applyFill="1" applyBorder="1">
      <alignment vertical="center"/>
    </xf>
    <xf numFmtId="9" fontId="0" fillId="4" borderId="12" xfId="2" applyNumberFormat="1" applyFont="1" applyFill="1" applyBorder="1">
      <alignment vertical="center"/>
    </xf>
    <xf numFmtId="183" fontId="0" fillId="9" borderId="12" xfId="1" applyNumberFormat="1" applyFont="1" applyFill="1" applyBorder="1">
      <alignment vertical="center"/>
    </xf>
    <xf numFmtId="183" fontId="0" fillId="14" borderId="12" xfId="1" applyNumberFormat="1" applyFont="1" applyFill="1" applyBorder="1">
      <alignment vertical="center"/>
    </xf>
    <xf numFmtId="9" fontId="0" fillId="18" borderId="12" xfId="2" applyFont="1" applyFill="1" applyBorder="1">
      <alignment vertical="center"/>
    </xf>
    <xf numFmtId="176" fontId="0" fillId="19" borderId="12" xfId="1" applyFont="1" applyFill="1" applyBorder="1">
      <alignment vertical="center"/>
    </xf>
    <xf numFmtId="9" fontId="0" fillId="4" borderId="12" xfId="2" applyFont="1" applyFill="1" applyBorder="1">
      <alignment vertical="center"/>
    </xf>
    <xf numFmtId="10" fontId="0" fillId="9" borderId="12" xfId="2" applyNumberFormat="1" applyFont="1" applyFill="1" applyBorder="1">
      <alignment vertical="center"/>
    </xf>
    <xf numFmtId="176" fontId="0" fillId="14" borderId="12" xfId="1" applyFont="1" applyFill="1" applyBorder="1">
      <alignment vertical="center"/>
    </xf>
    <xf numFmtId="0" fontId="0" fillId="22" borderId="12" xfId="0" applyFill="1" applyBorder="1">
      <alignment vertical="center"/>
    </xf>
    <xf numFmtId="0" fontId="0" fillId="24" borderId="12" xfId="0" applyFill="1" applyBorder="1">
      <alignment vertical="center"/>
    </xf>
    <xf numFmtId="0" fontId="30" fillId="16" borderId="9" xfId="0" applyFont="1" applyFill="1" applyBorder="1" applyAlignment="1">
      <alignment vertical="center"/>
    </xf>
    <xf numFmtId="0" fontId="30" fillId="16" borderId="0" xfId="0" applyFont="1" applyFill="1" applyBorder="1" applyAlignment="1">
      <alignment vertical="center"/>
    </xf>
    <xf numFmtId="0" fontId="30" fillId="17" borderId="9" xfId="0" applyFont="1" applyFill="1" applyBorder="1" applyAlignment="1">
      <alignment vertical="center"/>
    </xf>
    <xf numFmtId="0" fontId="30" fillId="17" borderId="0" xfId="0" applyFont="1" applyFill="1" applyBorder="1" applyAlignment="1">
      <alignment vertical="center"/>
    </xf>
    <xf numFmtId="0" fontId="30" fillId="9" borderId="9" xfId="0" applyFont="1" applyFill="1" applyBorder="1" applyAlignment="1">
      <alignment vertical="center"/>
    </xf>
    <xf numFmtId="0" fontId="30" fillId="9" borderId="0" xfId="0" applyFont="1" applyFill="1" applyBorder="1" applyAlignment="1">
      <alignment vertical="center"/>
    </xf>
    <xf numFmtId="0" fontId="49" fillId="15" borderId="0" xfId="0" applyFont="1" applyFill="1" applyBorder="1" applyAlignment="1">
      <alignment horizontal="center" vertical="center"/>
    </xf>
    <xf numFmtId="0" fontId="48" fillId="15" borderId="0" xfId="0" applyFont="1" applyFill="1" applyBorder="1" applyAlignment="1">
      <alignment vertical="center"/>
    </xf>
    <xf numFmtId="176" fontId="48" fillId="15" borderId="0" xfId="1" applyFont="1" applyFill="1" applyBorder="1" applyAlignment="1">
      <alignment vertical="center"/>
    </xf>
    <xf numFmtId="183" fontId="48" fillId="15" borderId="10" xfId="1" applyNumberFormat="1" applyFont="1" applyFill="1" applyBorder="1" applyAlignment="1">
      <alignment vertical="center"/>
    </xf>
    <xf numFmtId="0" fontId="45" fillId="2" borderId="1" xfId="0" applyFont="1" applyFill="1" applyBorder="1" applyAlignment="1">
      <alignment horizontal="center" vertical="center"/>
    </xf>
    <xf numFmtId="0" fontId="45" fillId="2" borderId="2" xfId="0" applyFont="1" applyFill="1" applyBorder="1" applyAlignment="1">
      <alignment horizontal="center" vertical="center"/>
    </xf>
    <xf numFmtId="0" fontId="45" fillId="2" borderId="3" xfId="0" applyFont="1" applyFill="1" applyBorder="1" applyAlignment="1">
      <alignment horizontal="center" vertical="center"/>
    </xf>
    <xf numFmtId="0" fontId="46" fillId="2" borderId="9" xfId="0" applyFont="1" applyFill="1" applyBorder="1">
      <alignment vertical="center"/>
    </xf>
    <xf numFmtId="0" fontId="46" fillId="2" borderId="10" xfId="0" applyFont="1" applyFill="1" applyBorder="1">
      <alignment vertical="center"/>
    </xf>
    <xf numFmtId="0" fontId="46" fillId="2" borderId="17" xfId="0" applyFont="1" applyFill="1" applyBorder="1" applyAlignment="1">
      <alignment vertical="center"/>
    </xf>
    <xf numFmtId="0" fontId="46" fillId="2" borderId="18" xfId="0" applyFont="1" applyFill="1" applyBorder="1" applyAlignment="1">
      <alignment vertical="center"/>
    </xf>
    <xf numFmtId="0" fontId="46" fillId="2" borderId="19" xfId="0" applyFont="1" applyFill="1" applyBorder="1" applyAlignment="1">
      <alignment vertical="center"/>
    </xf>
    <xf numFmtId="9" fontId="46" fillId="2" borderId="1" xfId="2" applyFont="1" applyFill="1" applyBorder="1">
      <alignment vertical="center"/>
    </xf>
    <xf numFmtId="9" fontId="46" fillId="2" borderId="2" xfId="2" applyFont="1" applyFill="1" applyBorder="1">
      <alignment vertical="center"/>
    </xf>
    <xf numFmtId="9" fontId="46" fillId="2" borderId="3" xfId="2" applyFont="1" applyFill="1" applyBorder="1">
      <alignment vertical="center"/>
    </xf>
    <xf numFmtId="9" fontId="46" fillId="2" borderId="9" xfId="2" applyFont="1" applyFill="1" applyBorder="1">
      <alignment vertical="center"/>
    </xf>
    <xf numFmtId="9" fontId="46" fillId="2" borderId="10" xfId="2" applyFont="1" applyFill="1" applyBorder="1">
      <alignment vertical="center"/>
    </xf>
    <xf numFmtId="178" fontId="46" fillId="2" borderId="9" xfId="0" applyNumberFormat="1" applyFont="1" applyFill="1" applyBorder="1">
      <alignment vertical="center"/>
    </xf>
    <xf numFmtId="178" fontId="46" fillId="2" borderId="10" xfId="0" applyNumberFormat="1" applyFont="1" applyFill="1" applyBorder="1">
      <alignment vertical="center"/>
    </xf>
    <xf numFmtId="178" fontId="46" fillId="2" borderId="9" xfId="2" applyNumberFormat="1" applyFont="1" applyFill="1" applyBorder="1">
      <alignment vertical="center"/>
    </xf>
    <xf numFmtId="178" fontId="46" fillId="2" borderId="10" xfId="2" applyNumberFormat="1" applyFont="1" applyFill="1" applyBorder="1">
      <alignment vertical="center"/>
    </xf>
    <xf numFmtId="180" fontId="46" fillId="2" borderId="9" xfId="2" applyNumberFormat="1" applyFont="1" applyFill="1" applyBorder="1">
      <alignment vertical="center"/>
    </xf>
    <xf numFmtId="180" fontId="46" fillId="2" borderId="10" xfId="2" applyNumberFormat="1" applyFont="1" applyFill="1" applyBorder="1">
      <alignment vertical="center"/>
    </xf>
    <xf numFmtId="9" fontId="46" fillId="2" borderId="9" xfId="2" applyFont="1" applyFill="1" applyBorder="1" applyAlignment="1">
      <alignment vertical="center"/>
    </xf>
    <xf numFmtId="9" fontId="46" fillId="2" borderId="10" xfId="2" applyFont="1" applyFill="1" applyBorder="1" applyAlignment="1">
      <alignment vertical="center"/>
    </xf>
    <xf numFmtId="181" fontId="46" fillId="2" borderId="9" xfId="0" applyNumberFormat="1" applyFont="1" applyFill="1" applyBorder="1">
      <alignment vertical="center"/>
    </xf>
    <xf numFmtId="181" fontId="46" fillId="2" borderId="10" xfId="0" applyNumberFormat="1" applyFont="1" applyFill="1" applyBorder="1">
      <alignment vertical="center"/>
    </xf>
    <xf numFmtId="179" fontId="46" fillId="2" borderId="9" xfId="2" applyNumberFormat="1" applyFont="1" applyFill="1" applyBorder="1">
      <alignment vertical="center"/>
    </xf>
    <xf numFmtId="179" fontId="46" fillId="2" borderId="10" xfId="2" applyNumberFormat="1" applyFont="1" applyFill="1" applyBorder="1">
      <alignment vertical="center"/>
    </xf>
    <xf numFmtId="0" fontId="46" fillId="2" borderId="17" xfId="0" applyFont="1" applyFill="1" applyBorder="1" applyAlignment="1">
      <alignment vertical="center" wrapText="1"/>
    </xf>
    <xf numFmtId="0" fontId="46" fillId="2" borderId="18" xfId="0" applyFont="1" applyFill="1" applyBorder="1" applyAlignment="1">
      <alignment vertical="center" wrapText="1"/>
    </xf>
    <xf numFmtId="0" fontId="46" fillId="2" borderId="19" xfId="0" applyFont="1" applyFill="1" applyBorder="1" applyAlignment="1">
      <alignment vertical="center" wrapText="1"/>
    </xf>
    <xf numFmtId="0" fontId="3" fillId="0" borderId="40" xfId="0" applyFont="1" applyBorder="1" applyAlignment="1">
      <alignment horizontal="center" vertical="center"/>
    </xf>
    <xf numFmtId="0" fontId="3" fillId="21" borderId="45" xfId="0" applyFont="1" applyFill="1" applyBorder="1">
      <alignment vertical="center"/>
    </xf>
    <xf numFmtId="9" fontId="3" fillId="21" borderId="45" xfId="0" applyNumberFormat="1" applyFont="1" applyFill="1" applyBorder="1" applyAlignment="1">
      <alignment horizontal="right" vertical="center"/>
    </xf>
    <xf numFmtId="0" fontId="44" fillId="2" borderId="2" xfId="0" applyFont="1" applyFill="1" applyBorder="1">
      <alignment vertical="center"/>
    </xf>
    <xf numFmtId="0" fontId="44" fillId="2" borderId="0" xfId="0" applyFont="1" applyFill="1" applyBorder="1">
      <alignment vertical="center"/>
    </xf>
    <xf numFmtId="44" fontId="0" fillId="2" borderId="0" xfId="0" applyNumberFormat="1" applyFill="1" applyBorder="1">
      <alignment vertical="center"/>
    </xf>
    <xf numFmtId="0" fontId="0" fillId="2" borderId="17" xfId="0" applyFill="1" applyBorder="1">
      <alignment vertical="center"/>
    </xf>
    <xf numFmtId="0" fontId="0" fillId="2" borderId="18" xfId="0" applyFill="1" applyBorder="1">
      <alignment vertical="center"/>
    </xf>
    <xf numFmtId="0" fontId="0" fillId="2" borderId="19" xfId="0" applyFill="1" applyBorder="1">
      <alignment vertical="center"/>
    </xf>
    <xf numFmtId="0" fontId="4" fillId="0" borderId="35" xfId="0" applyFont="1" applyFill="1" applyBorder="1" applyAlignment="1">
      <alignment horizontal="center" vertical="center"/>
    </xf>
    <xf numFmtId="0" fontId="3" fillId="10" borderId="28" xfId="3" applyFont="1" applyFill="1" applyBorder="1" applyAlignment="1">
      <alignment horizontal="center" vertical="center" wrapText="1"/>
    </xf>
    <xf numFmtId="0" fontId="3" fillId="10" borderId="29" xfId="3" applyFont="1" applyFill="1" applyBorder="1" applyAlignment="1">
      <alignment horizontal="center" vertical="center" wrapText="1"/>
    </xf>
    <xf numFmtId="0" fontId="3" fillId="10" borderId="28" xfId="0" applyFont="1" applyFill="1" applyBorder="1" applyAlignment="1">
      <alignment horizontal="center" vertical="center" wrapText="1"/>
    </xf>
    <xf numFmtId="0" fontId="3" fillId="10" borderId="29" xfId="0" applyFont="1" applyFill="1" applyBorder="1" applyAlignment="1">
      <alignment horizontal="center" vertical="center" wrapText="1"/>
    </xf>
    <xf numFmtId="0" fontId="0" fillId="11" borderId="28" xfId="3" applyFont="1" applyFill="1" applyBorder="1" applyAlignment="1">
      <alignment horizontal="center" vertical="center"/>
    </xf>
    <xf numFmtId="0" fontId="0" fillId="11" borderId="30" xfId="3" applyFont="1" applyFill="1" applyBorder="1" applyAlignment="1">
      <alignment horizontal="center" vertical="center"/>
    </xf>
    <xf numFmtId="0" fontId="0" fillId="11" borderId="29" xfId="3" applyFont="1" applyFill="1" applyBorder="1" applyAlignment="1">
      <alignment horizontal="center" vertical="center"/>
    </xf>
    <xf numFmtId="0" fontId="19" fillId="11" borderId="28" xfId="0" applyFont="1" applyFill="1" applyBorder="1" applyAlignment="1">
      <alignment horizontal="center" vertical="center"/>
    </xf>
    <xf numFmtId="0" fontId="19" fillId="11" borderId="30" xfId="0" applyFont="1" applyFill="1" applyBorder="1" applyAlignment="1">
      <alignment horizontal="center" vertical="center"/>
    </xf>
    <xf numFmtId="0" fontId="19" fillId="11" borderId="29" xfId="0" applyFont="1" applyFill="1" applyBorder="1" applyAlignment="1">
      <alignment horizontal="center" vertical="center"/>
    </xf>
    <xf numFmtId="3" fontId="0" fillId="11" borderId="28" xfId="0" applyNumberFormat="1" applyFill="1" applyBorder="1" applyAlignment="1">
      <alignment horizontal="center" vertical="center"/>
    </xf>
    <xf numFmtId="3" fontId="0" fillId="11" borderId="30" xfId="0" applyNumberFormat="1" applyFill="1" applyBorder="1" applyAlignment="1">
      <alignment horizontal="center" vertical="center"/>
    </xf>
    <xf numFmtId="3" fontId="0" fillId="11" borderId="29" xfId="0" applyNumberFormat="1" applyFill="1" applyBorder="1" applyAlignment="1">
      <alignment horizontal="center" vertical="center"/>
    </xf>
    <xf numFmtId="0" fontId="0" fillId="11" borderId="28" xfId="0" applyFill="1" applyBorder="1" applyAlignment="1">
      <alignment horizontal="center" vertical="center"/>
    </xf>
    <xf numFmtId="0" fontId="0" fillId="11" borderId="30" xfId="0" applyFill="1" applyBorder="1" applyAlignment="1">
      <alignment horizontal="center" vertical="center"/>
    </xf>
    <xf numFmtId="0" fontId="0" fillId="11" borderId="29" xfId="0" applyFill="1" applyBorder="1" applyAlignment="1">
      <alignment horizontal="center"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34" xfId="0" applyFont="1" applyFill="1" applyBorder="1" applyAlignment="1">
      <alignment horizontal="center" vertical="center"/>
    </xf>
    <xf numFmtId="0" fontId="3" fillId="0" borderId="43" xfId="0" applyFont="1" applyFill="1" applyBorder="1" applyAlignment="1">
      <alignment horizontal="left" vertical="center"/>
    </xf>
    <xf numFmtId="0" fontId="3" fillId="0" borderId="41" xfId="0" applyFont="1" applyFill="1" applyBorder="1" applyAlignment="1">
      <alignment horizontal="left" vertical="center"/>
    </xf>
    <xf numFmtId="181" fontId="0" fillId="2" borderId="9" xfId="0" applyNumberFormat="1" applyFill="1" applyBorder="1" applyAlignment="1">
      <alignment horizontal="center" vertical="center"/>
    </xf>
    <xf numFmtId="181" fontId="0" fillId="2" borderId="0" xfId="0" applyNumberFormat="1" applyFill="1" applyBorder="1" applyAlignment="1">
      <alignment horizontal="center" vertical="center"/>
    </xf>
    <xf numFmtId="0" fontId="5" fillId="0" borderId="0" xfId="3" applyAlignment="1">
      <alignment horizontal="center" vertical="center"/>
    </xf>
    <xf numFmtId="0" fontId="5" fillId="0" borderId="36" xfId="3" applyBorder="1" applyAlignment="1">
      <alignment horizontal="center" vertical="center"/>
    </xf>
    <xf numFmtId="0" fontId="17" fillId="12" borderId="31" xfId="3" applyFont="1" applyFill="1" applyBorder="1" applyAlignment="1">
      <alignment horizontal="center" vertical="center" wrapText="1"/>
    </xf>
    <xf numFmtId="0" fontId="17" fillId="12" borderId="32" xfId="3" applyFont="1" applyFill="1" applyBorder="1" applyAlignment="1">
      <alignment horizontal="center" vertical="center" wrapText="1"/>
    </xf>
    <xf numFmtId="0" fontId="17" fillId="12" borderId="33" xfId="3" applyFont="1" applyFill="1" applyBorder="1" applyAlignment="1">
      <alignment horizontal="center" vertical="center" wrapText="1"/>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9" fontId="0" fillId="2" borderId="1" xfId="2" applyFont="1" applyFill="1" applyBorder="1" applyAlignment="1">
      <alignment horizontal="center" vertical="center"/>
    </xf>
    <xf numFmtId="9" fontId="0" fillId="2" borderId="9" xfId="2" applyFont="1" applyFill="1" applyBorder="1" applyAlignment="1">
      <alignment horizontal="center" vertical="center"/>
    </xf>
    <xf numFmtId="9" fontId="0" fillId="2" borderId="2" xfId="2" applyFont="1" applyFill="1" applyBorder="1" applyAlignment="1">
      <alignment horizontal="center" vertical="center"/>
    </xf>
    <xf numFmtId="9" fontId="0" fillId="2" borderId="0" xfId="2" applyFont="1" applyFill="1" applyBorder="1" applyAlignment="1">
      <alignment horizontal="center" vertical="center"/>
    </xf>
    <xf numFmtId="0" fontId="3" fillId="10" borderId="28" xfId="3" applyFont="1" applyFill="1" applyBorder="1" applyAlignment="1">
      <alignment horizontal="center" vertical="center" wrapText="1"/>
    </xf>
    <xf numFmtId="0" fontId="3" fillId="10" borderId="29" xfId="3" applyFont="1" applyFill="1" applyBorder="1" applyAlignment="1">
      <alignment horizontal="center" vertical="center" wrapText="1"/>
    </xf>
    <xf numFmtId="20" fontId="0" fillId="11" borderId="28" xfId="3" applyNumberFormat="1" applyFont="1" applyFill="1" applyBorder="1" applyAlignment="1">
      <alignment horizontal="center" vertical="center"/>
    </xf>
    <xf numFmtId="20" fontId="0" fillId="11" borderId="30" xfId="3" applyNumberFormat="1" applyFont="1" applyFill="1" applyBorder="1" applyAlignment="1">
      <alignment horizontal="center" vertical="center"/>
    </xf>
    <xf numFmtId="20" fontId="0" fillId="11" borderId="29" xfId="3" applyNumberFormat="1" applyFont="1" applyFill="1" applyBorder="1" applyAlignment="1">
      <alignment horizontal="center" vertical="center"/>
    </xf>
    <xf numFmtId="0" fontId="3" fillId="11" borderId="28" xfId="0" applyFont="1" applyFill="1" applyBorder="1" applyAlignment="1">
      <alignment horizontal="center" vertical="center"/>
    </xf>
    <xf numFmtId="0" fontId="3" fillId="11" borderId="30" xfId="0" applyFont="1" applyFill="1" applyBorder="1" applyAlignment="1">
      <alignment horizontal="center" vertical="center"/>
    </xf>
    <xf numFmtId="0" fontId="3" fillId="11" borderId="29" xfId="0" applyFont="1" applyFill="1" applyBorder="1" applyAlignment="1">
      <alignment horizontal="center" vertical="center"/>
    </xf>
    <xf numFmtId="14" fontId="42" fillId="5" borderId="4" xfId="0" applyNumberFormat="1" applyFont="1" applyFill="1" applyBorder="1" applyAlignment="1">
      <alignment horizontal="center" vertical="center"/>
    </xf>
    <xf numFmtId="14" fontId="42" fillId="5" borderId="5" xfId="0" applyNumberFormat="1" applyFont="1" applyFill="1" applyBorder="1" applyAlignment="1">
      <alignment horizontal="center" vertical="center"/>
    </xf>
    <xf numFmtId="0" fontId="10" fillId="5" borderId="5" xfId="0" applyFont="1" applyFill="1" applyBorder="1" applyAlignment="1">
      <alignment horizontal="left" vertical="center"/>
    </xf>
    <xf numFmtId="0" fontId="10" fillId="5" borderId="2" xfId="0" applyFont="1" applyFill="1" applyBorder="1" applyAlignment="1">
      <alignment horizontal="left" vertical="center"/>
    </xf>
    <xf numFmtId="0" fontId="42" fillId="6" borderId="21" xfId="0" applyFont="1" applyFill="1" applyBorder="1" applyAlignment="1">
      <alignment horizontal="left" vertical="center"/>
    </xf>
    <xf numFmtId="0" fontId="42" fillId="6" borderId="22" xfId="0" applyFont="1" applyFill="1" applyBorder="1" applyAlignment="1">
      <alignment horizontal="left" vertical="center"/>
    </xf>
    <xf numFmtId="179" fontId="42" fillId="7" borderId="13" xfId="0" applyNumberFormat="1" applyFont="1" applyFill="1" applyBorder="1" applyAlignment="1">
      <alignment horizontal="left" vertical="center"/>
    </xf>
    <xf numFmtId="179" fontId="42" fillId="7" borderId="11" xfId="0" applyNumberFormat="1" applyFont="1" applyFill="1" applyBorder="1" applyAlignment="1">
      <alignment horizontal="left" vertical="center"/>
    </xf>
    <xf numFmtId="179" fontId="42" fillId="7" borderId="20" xfId="0" applyNumberFormat="1" applyFont="1" applyFill="1" applyBorder="1" applyAlignment="1">
      <alignment horizontal="left" vertical="center"/>
    </xf>
    <xf numFmtId="179" fontId="42" fillId="8" borderId="21" xfId="0" applyNumberFormat="1" applyFont="1" applyFill="1" applyBorder="1" applyAlignment="1">
      <alignment horizontal="center" vertical="center"/>
    </xf>
    <xf numFmtId="179" fontId="42" fillId="8" borderId="24" xfId="0" applyNumberFormat="1" applyFont="1" applyFill="1" applyBorder="1" applyAlignment="1">
      <alignment horizontal="center" vertical="center"/>
    </xf>
    <xf numFmtId="179" fontId="42" fillId="8" borderId="22" xfId="0" applyNumberFormat="1" applyFont="1" applyFill="1" applyBorder="1" applyAlignment="1">
      <alignment horizontal="center" vertical="center"/>
    </xf>
    <xf numFmtId="0" fontId="42" fillId="21" borderId="21" xfId="0" applyFont="1" applyFill="1" applyBorder="1" applyAlignment="1">
      <alignment horizontal="center" vertical="center"/>
    </xf>
    <xf numFmtId="0" fontId="42" fillId="21" borderId="24" xfId="0" applyFont="1" applyFill="1" applyBorder="1" applyAlignment="1">
      <alignment horizontal="center" vertical="center"/>
    </xf>
    <xf numFmtId="0" fontId="42" fillId="21" borderId="22" xfId="0" applyFont="1" applyFill="1" applyBorder="1" applyAlignment="1">
      <alignment horizontal="center" vertical="center"/>
    </xf>
    <xf numFmtId="0" fontId="36" fillId="15" borderId="0" xfId="0" applyFont="1" applyFill="1" applyAlignment="1">
      <alignment horizontal="center" vertical="center"/>
    </xf>
    <xf numFmtId="0" fontId="47" fillId="15" borderId="0" xfId="0" applyFont="1" applyFill="1" applyBorder="1" applyAlignment="1">
      <alignment horizontal="center" vertical="center"/>
    </xf>
    <xf numFmtId="0" fontId="47" fillId="15" borderId="10" xfId="0" applyFont="1" applyFill="1" applyBorder="1" applyAlignment="1">
      <alignment horizontal="center" vertical="center"/>
    </xf>
    <xf numFmtId="0" fontId="49" fillId="15" borderId="9" xfId="0" applyFont="1" applyFill="1" applyBorder="1" applyAlignment="1">
      <alignment horizontal="center" vertical="center"/>
    </xf>
    <xf numFmtId="0" fontId="49" fillId="15" borderId="0" xfId="0" applyFont="1" applyFill="1" applyBorder="1" applyAlignment="1">
      <alignment horizontal="center" vertical="center"/>
    </xf>
    <xf numFmtId="0" fontId="0" fillId="0" borderId="1" xfId="0" applyNumberFormat="1" applyFill="1" applyBorder="1" applyAlignment="1">
      <alignment horizontal="right" vertical="center"/>
    </xf>
    <xf numFmtId="0" fontId="3" fillId="0" borderId="2" xfId="0" applyFont="1" applyFill="1" applyBorder="1" applyAlignment="1">
      <alignment horizontal="center" vertical="center"/>
    </xf>
    <xf numFmtId="2" fontId="3" fillId="0" borderId="2" xfId="0" applyNumberFormat="1" applyFont="1" applyFill="1" applyBorder="1" applyAlignment="1">
      <alignment horizontal="center" vertical="center"/>
    </xf>
    <xf numFmtId="176" fontId="5" fillId="0" borderId="0" xfId="1" applyFont="1" applyAlignment="1">
      <alignment horizontal="center" vertical="center"/>
    </xf>
    <xf numFmtId="9" fontId="5" fillId="0" borderId="0" xfId="3" applyNumberFormat="1" applyAlignment="1">
      <alignment horizontal="center" vertical="center"/>
    </xf>
  </cellXfs>
  <cellStyles count="6">
    <cellStyle name="一般" xfId="0" builtinId="0"/>
    <cellStyle name="一般 2" xfId="4"/>
    <cellStyle name="千分位" xfId="1" builtinId="3"/>
    <cellStyle name="百分比" xfId="2" builtinId="5"/>
    <cellStyle name="超連結" xfId="3" builtinId="8"/>
    <cellStyle name="超連結 2" xfId="5"/>
  </cellStyles>
  <dxfs count="0"/>
  <tableStyles count="0" defaultTableStyle="TableStyleMedium2" defaultPivotStyle="PivotStyleLight16"/>
  <colors>
    <mruColors>
      <color rgb="FFFFCC00"/>
      <color rgb="FFFFFF66"/>
      <color rgb="FFCC3300"/>
      <color rgb="FFFF9900"/>
      <color rgb="FF009900"/>
      <color rgb="FF0000FF"/>
      <color rgb="FFCC0000"/>
      <color rgb="FFFF3300"/>
      <color rgb="FFFF33CC"/>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6336006342938"/>
          <c:y val="5.6026230977511984E-2"/>
          <c:w val="0.74665571837881584"/>
          <c:h val="0.81755668895497147"/>
        </c:manualLayout>
      </c:layout>
      <c:barChart>
        <c:barDir val="col"/>
        <c:grouping val="clustered"/>
        <c:varyColors val="0"/>
        <c:ser>
          <c:idx val="0"/>
          <c:order val="0"/>
          <c:tx>
            <c:v>營收</c:v>
          </c:tx>
          <c:spPr>
            <a:solidFill>
              <a:srgbClr val="0070C0"/>
            </a:solidFill>
            <a:scene3d>
              <a:camera prst="orthographicFront"/>
              <a:lightRig rig="threePt" dir="t"/>
            </a:scene3d>
            <a:sp3d>
              <a:bevelT/>
              <a:bevelB prst="angle"/>
            </a:sp3d>
          </c:spPr>
          <c:invertIfNegative val="0"/>
          <c:cat>
            <c:strRef>
              <c:f>紅綠燈!$O$2:$V$2</c:f>
              <c:strCache>
                <c:ptCount val="8"/>
                <c:pt idx="0">
                  <c:v>Q-7</c:v>
                </c:pt>
                <c:pt idx="1">
                  <c:v>Q-6</c:v>
                </c:pt>
                <c:pt idx="2">
                  <c:v>Q-5</c:v>
                </c:pt>
                <c:pt idx="3">
                  <c:v>Q-4</c:v>
                </c:pt>
                <c:pt idx="4">
                  <c:v>Q-3</c:v>
                </c:pt>
                <c:pt idx="5">
                  <c:v>Q-2</c:v>
                </c:pt>
                <c:pt idx="6">
                  <c:v>Q-1</c:v>
                </c:pt>
                <c:pt idx="7">
                  <c:v>Q</c:v>
                </c:pt>
              </c:strCache>
            </c:strRef>
          </c:cat>
          <c:val>
            <c:numRef>
              <c:f>紅綠燈!$O$3:$V$3</c:f>
              <c:numCache>
                <c:formatCode>General</c:formatCode>
                <c:ptCount val="8"/>
                <c:pt idx="0">
                  <c:v>4995</c:v>
                </c:pt>
                <c:pt idx="1">
                  <c:v>4936</c:v>
                </c:pt>
                <c:pt idx="2">
                  <c:v>4900</c:v>
                </c:pt>
                <c:pt idx="3">
                  <c:v>5081</c:v>
                </c:pt>
                <c:pt idx="4">
                  <c:v>5038</c:v>
                </c:pt>
                <c:pt idx="5">
                  <c:v>5126</c:v>
                </c:pt>
                <c:pt idx="6">
                  <c:v>4550</c:v>
                </c:pt>
                <c:pt idx="7">
                  <c:v>4345</c:v>
                </c:pt>
              </c:numCache>
            </c:numRef>
          </c:val>
        </c:ser>
        <c:dLbls>
          <c:showLegendKey val="0"/>
          <c:showVal val="0"/>
          <c:showCatName val="0"/>
          <c:showSerName val="0"/>
          <c:showPercent val="0"/>
          <c:showBubbleSize val="0"/>
        </c:dLbls>
        <c:gapWidth val="150"/>
        <c:axId val="272496320"/>
        <c:axId val="272496880"/>
      </c:barChart>
      <c:lineChart>
        <c:grouping val="standard"/>
        <c:varyColors val="0"/>
        <c:ser>
          <c:idx val="1"/>
          <c:order val="1"/>
          <c:tx>
            <c:strRef>
              <c:f>紅綠燈!$N$22</c:f>
              <c:strCache>
                <c:ptCount val="1"/>
                <c:pt idx="0">
                  <c:v>毛利率</c:v>
                </c:pt>
              </c:strCache>
            </c:strRef>
          </c:tx>
          <c:spPr>
            <a:ln w="44450"/>
          </c:spPr>
          <c:marker>
            <c:symbol val="none"/>
          </c:marker>
          <c:val>
            <c:numRef>
              <c:f>紅綠燈!$O$22:$V$22</c:f>
              <c:numCache>
                <c:formatCode>0%</c:formatCode>
                <c:ptCount val="8"/>
                <c:pt idx="0">
                  <c:v>0.13913913913913914</c:v>
                </c:pt>
                <c:pt idx="1">
                  <c:v>0.12722852512155591</c:v>
                </c:pt>
                <c:pt idx="2">
                  <c:v>0.11632653061224489</c:v>
                </c:pt>
                <c:pt idx="3">
                  <c:v>0.10923046644361346</c:v>
                </c:pt>
                <c:pt idx="4">
                  <c:v>9.8650258038904329E-2</c:v>
                </c:pt>
                <c:pt idx="5">
                  <c:v>0.10983222785797893</c:v>
                </c:pt>
                <c:pt idx="6">
                  <c:v>0.11296703296703296</c:v>
                </c:pt>
                <c:pt idx="7">
                  <c:v>0.10817031070195628</c:v>
                </c:pt>
              </c:numCache>
            </c:numRef>
          </c:val>
          <c:smooth val="1"/>
        </c:ser>
        <c:ser>
          <c:idx val="2"/>
          <c:order val="2"/>
          <c:tx>
            <c:strRef>
              <c:f>紅綠燈!$N$23</c:f>
              <c:strCache>
                <c:ptCount val="1"/>
                <c:pt idx="0">
                  <c:v>營益率</c:v>
                </c:pt>
              </c:strCache>
            </c:strRef>
          </c:tx>
          <c:spPr>
            <a:ln w="44450">
              <a:solidFill>
                <a:srgbClr val="FFFF00"/>
              </a:solidFill>
            </a:ln>
          </c:spPr>
          <c:marker>
            <c:symbol val="none"/>
          </c:marker>
          <c:val>
            <c:numRef>
              <c:f>紅綠燈!$O$23:$V$23</c:f>
              <c:numCache>
                <c:formatCode>0%</c:formatCode>
                <c:ptCount val="8"/>
                <c:pt idx="0">
                  <c:v>7.4674674674674674E-2</c:v>
                </c:pt>
                <c:pt idx="1">
                  <c:v>5.4092382495948138E-2</c:v>
                </c:pt>
                <c:pt idx="2">
                  <c:v>4.8367346938775507E-2</c:v>
                </c:pt>
                <c:pt idx="3">
                  <c:v>4.9399724463688253E-2</c:v>
                </c:pt>
                <c:pt idx="4">
                  <c:v>3.4736006351726877E-2</c:v>
                </c:pt>
                <c:pt idx="5">
                  <c:v>4.8966055403823643E-2</c:v>
                </c:pt>
                <c:pt idx="6">
                  <c:v>5.3186813186813189E-2</c:v>
                </c:pt>
                <c:pt idx="7">
                  <c:v>3.6593785960874571E-2</c:v>
                </c:pt>
              </c:numCache>
            </c:numRef>
          </c:val>
          <c:smooth val="1"/>
        </c:ser>
        <c:dLbls>
          <c:showLegendKey val="0"/>
          <c:showVal val="0"/>
          <c:showCatName val="0"/>
          <c:showSerName val="0"/>
          <c:showPercent val="0"/>
          <c:showBubbleSize val="0"/>
        </c:dLbls>
        <c:marker val="1"/>
        <c:smooth val="0"/>
        <c:axId val="272498000"/>
        <c:axId val="272497440"/>
      </c:lineChart>
      <c:catAx>
        <c:axId val="272496320"/>
        <c:scaling>
          <c:orientation val="minMax"/>
        </c:scaling>
        <c:delete val="0"/>
        <c:axPos val="b"/>
        <c:numFmt formatCode="General" sourceLinked="0"/>
        <c:majorTickMark val="none"/>
        <c:minorTickMark val="none"/>
        <c:tickLblPos val="nextTo"/>
        <c:crossAx val="272496880"/>
        <c:crosses val="autoZero"/>
        <c:auto val="1"/>
        <c:lblAlgn val="ctr"/>
        <c:lblOffset val="100"/>
        <c:noMultiLvlLbl val="0"/>
      </c:catAx>
      <c:valAx>
        <c:axId val="272496880"/>
        <c:scaling>
          <c:orientation val="minMax"/>
        </c:scaling>
        <c:delete val="0"/>
        <c:axPos val="l"/>
        <c:numFmt formatCode="General" sourceLinked="1"/>
        <c:majorTickMark val="none"/>
        <c:minorTickMark val="none"/>
        <c:tickLblPos val="nextTo"/>
        <c:crossAx val="272496320"/>
        <c:crosses val="autoZero"/>
        <c:crossBetween val="between"/>
      </c:valAx>
      <c:valAx>
        <c:axId val="272497440"/>
        <c:scaling>
          <c:orientation val="minMax"/>
        </c:scaling>
        <c:delete val="0"/>
        <c:axPos val="r"/>
        <c:numFmt formatCode="0%" sourceLinked="1"/>
        <c:majorTickMark val="none"/>
        <c:minorTickMark val="none"/>
        <c:tickLblPos val="nextTo"/>
        <c:crossAx val="272498000"/>
        <c:crosses val="max"/>
        <c:crossBetween val="between"/>
      </c:valAx>
      <c:catAx>
        <c:axId val="272498000"/>
        <c:scaling>
          <c:orientation val="minMax"/>
        </c:scaling>
        <c:delete val="1"/>
        <c:axPos val="b"/>
        <c:majorTickMark val="out"/>
        <c:minorTickMark val="none"/>
        <c:tickLblPos val="none"/>
        <c:crossAx val="272497440"/>
        <c:crosses val="autoZero"/>
        <c:auto val="1"/>
        <c:lblAlgn val="ctr"/>
        <c:lblOffset val="100"/>
        <c:noMultiLvlLbl val="0"/>
      </c:catAx>
      <c:spPr>
        <a:noFill/>
      </c:spPr>
    </c:plotArea>
    <c:plotVisOnly val="1"/>
    <c:dispBlanksAs val="gap"/>
    <c:showDLblsOverMax val="0"/>
  </c:chart>
  <c:spPr>
    <a:noFill/>
    <a:ln w="22225">
      <a:solidFill>
        <a:schemeClr val="tx1"/>
      </a:solidFill>
    </a:ln>
  </c:spPr>
  <c:printSettings>
    <c:headerFooter/>
    <c:pageMargins b="0.75000000000000133" l="0.70000000000000062" r="0.70000000000000062" t="0.750000000000001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64289145554418"/>
          <c:y val="6.1852578105156208E-2"/>
          <c:w val="0.75693049638576404"/>
          <c:h val="0.81522571527106802"/>
        </c:manualLayout>
      </c:layout>
      <c:lineChart>
        <c:grouping val="standard"/>
        <c:varyColors val="0"/>
        <c:ser>
          <c:idx val="0"/>
          <c:order val="0"/>
          <c:tx>
            <c:strRef>
              <c:f>紅綠燈!$N$26</c:f>
              <c:strCache>
                <c:ptCount val="1"/>
                <c:pt idx="0">
                  <c:v>收款天數</c:v>
                </c:pt>
              </c:strCache>
            </c:strRef>
          </c:tx>
          <c:spPr>
            <a:ln w="44450">
              <a:solidFill>
                <a:srgbClr val="0000FF"/>
              </a:solidFill>
            </a:ln>
          </c:spPr>
          <c:marker>
            <c:symbol val="none"/>
          </c:marker>
          <c:cat>
            <c:strRef>
              <c:f>紅綠燈!$O$2:$V$2</c:f>
              <c:strCache>
                <c:ptCount val="8"/>
                <c:pt idx="0">
                  <c:v>Q-7</c:v>
                </c:pt>
                <c:pt idx="1">
                  <c:v>Q-6</c:v>
                </c:pt>
                <c:pt idx="2">
                  <c:v>Q-5</c:v>
                </c:pt>
                <c:pt idx="3">
                  <c:v>Q-4</c:v>
                </c:pt>
                <c:pt idx="4">
                  <c:v>Q-3</c:v>
                </c:pt>
                <c:pt idx="5">
                  <c:v>Q-2</c:v>
                </c:pt>
                <c:pt idx="6">
                  <c:v>Q-1</c:v>
                </c:pt>
                <c:pt idx="7">
                  <c:v>Q</c:v>
                </c:pt>
              </c:strCache>
            </c:strRef>
          </c:cat>
          <c:val>
            <c:numRef>
              <c:f>紅綠燈!$O$26:$V$26</c:f>
              <c:numCache>
                <c:formatCode>0_);[Red]\(0\)</c:formatCode>
                <c:ptCount val="8"/>
                <c:pt idx="0">
                  <c:v>129.702188006483</c:v>
                </c:pt>
                <c:pt idx="1">
                  <c:v>129.702188006483</c:v>
                </c:pt>
                <c:pt idx="2">
                  <c:v>134.02576530612245</c:v>
                </c:pt>
                <c:pt idx="3">
                  <c:v>127.67098012202322</c:v>
                </c:pt>
                <c:pt idx="4">
                  <c:v>128.57048928146088</c:v>
                </c:pt>
                <c:pt idx="5">
                  <c:v>132.81627975029264</c:v>
                </c:pt>
                <c:pt idx="6">
                  <c:v>154.82417582417582</c:v>
                </c:pt>
                <c:pt idx="7">
                  <c:v>149.74870540851555</c:v>
                </c:pt>
              </c:numCache>
            </c:numRef>
          </c:val>
          <c:smooth val="1"/>
        </c:ser>
        <c:ser>
          <c:idx val="1"/>
          <c:order val="1"/>
          <c:tx>
            <c:strRef>
              <c:f>紅綠燈!$N$27</c:f>
              <c:strCache>
                <c:ptCount val="1"/>
                <c:pt idx="0">
                  <c:v>出貨天數</c:v>
                </c:pt>
              </c:strCache>
            </c:strRef>
          </c:tx>
          <c:spPr>
            <a:ln w="44450"/>
          </c:spPr>
          <c:marker>
            <c:symbol val="none"/>
          </c:marker>
          <c:val>
            <c:numRef>
              <c:f>紅綠燈!$O$27:$V$27</c:f>
              <c:numCache>
                <c:formatCode>0_);[Red]\(0\)</c:formatCode>
                <c:ptCount val="8"/>
                <c:pt idx="0">
                  <c:v>22.282961931290625</c:v>
                </c:pt>
                <c:pt idx="1">
                  <c:v>22.282961931290625</c:v>
                </c:pt>
                <c:pt idx="2">
                  <c:v>22.549076212471132</c:v>
                </c:pt>
                <c:pt idx="3">
                  <c:v>21.965725806451612</c:v>
                </c:pt>
                <c:pt idx="4">
                  <c:v>21.420942523673197</c:v>
                </c:pt>
                <c:pt idx="5">
                  <c:v>21.797611220688147</c:v>
                </c:pt>
                <c:pt idx="6">
                  <c:v>22.111620416253718</c:v>
                </c:pt>
                <c:pt idx="7">
                  <c:v>21.85290322580645</c:v>
                </c:pt>
              </c:numCache>
            </c:numRef>
          </c:val>
          <c:smooth val="1"/>
        </c:ser>
        <c:ser>
          <c:idx val="2"/>
          <c:order val="2"/>
          <c:tx>
            <c:strRef>
              <c:f>紅綠燈!$N$25</c:f>
              <c:strCache>
                <c:ptCount val="1"/>
                <c:pt idx="0">
                  <c:v>付款天數</c:v>
                </c:pt>
              </c:strCache>
            </c:strRef>
          </c:tx>
          <c:spPr>
            <a:ln w="31750">
              <a:solidFill>
                <a:srgbClr val="7030A0"/>
              </a:solidFill>
              <a:prstDash val="sysDash"/>
            </a:ln>
          </c:spPr>
          <c:marker>
            <c:symbol val="none"/>
          </c:marker>
          <c:val>
            <c:numRef>
              <c:f>紅綠燈!$O$25:$V$25</c:f>
              <c:numCache>
                <c:formatCode>0_);[Red]\(0\)</c:formatCode>
                <c:ptCount val="8"/>
                <c:pt idx="0">
                  <c:v>104.6049500928505</c:v>
                </c:pt>
                <c:pt idx="1">
                  <c:v>104.6049500928505</c:v>
                </c:pt>
                <c:pt idx="2">
                  <c:v>105.72777136258661</c:v>
                </c:pt>
                <c:pt idx="3">
                  <c:v>97.963709677419359</c:v>
                </c:pt>
                <c:pt idx="4">
                  <c:v>96.554998898920942</c:v>
                </c:pt>
                <c:pt idx="5">
                  <c:v>100.19901928555775</c:v>
                </c:pt>
                <c:pt idx="6">
                  <c:v>106.08151635282458</c:v>
                </c:pt>
                <c:pt idx="7">
                  <c:v>94.381935483870976</c:v>
                </c:pt>
              </c:numCache>
            </c:numRef>
          </c:val>
          <c:smooth val="1"/>
        </c:ser>
        <c:dLbls>
          <c:showLegendKey val="0"/>
          <c:showVal val="0"/>
          <c:showCatName val="0"/>
          <c:showSerName val="0"/>
          <c:showPercent val="0"/>
          <c:showBubbleSize val="0"/>
        </c:dLbls>
        <c:smooth val="0"/>
        <c:axId val="272501920"/>
        <c:axId val="272502480"/>
      </c:lineChart>
      <c:catAx>
        <c:axId val="272501920"/>
        <c:scaling>
          <c:orientation val="minMax"/>
        </c:scaling>
        <c:delete val="0"/>
        <c:axPos val="b"/>
        <c:numFmt formatCode="General" sourceLinked="0"/>
        <c:majorTickMark val="none"/>
        <c:minorTickMark val="none"/>
        <c:tickLblPos val="nextTo"/>
        <c:crossAx val="272502480"/>
        <c:crosses val="autoZero"/>
        <c:auto val="1"/>
        <c:lblAlgn val="ctr"/>
        <c:lblOffset val="100"/>
        <c:noMultiLvlLbl val="0"/>
      </c:catAx>
      <c:valAx>
        <c:axId val="272502480"/>
        <c:scaling>
          <c:orientation val="minMax"/>
          <c:max val="186.78901098901099"/>
          <c:min val="16.136754018938557"/>
        </c:scaling>
        <c:delete val="0"/>
        <c:axPos val="l"/>
        <c:numFmt formatCode="#,##0_);[Red]\(#,##0\)" sourceLinked="0"/>
        <c:majorTickMark val="none"/>
        <c:minorTickMark val="none"/>
        <c:tickLblPos val="nextTo"/>
        <c:crossAx val="272501920"/>
        <c:crosses val="autoZero"/>
        <c:crossBetween val="between"/>
      </c:valAx>
      <c:spPr>
        <a:noFill/>
      </c:spPr>
    </c:plotArea>
    <c:plotVisOnly val="1"/>
    <c:dispBlanksAs val="gap"/>
    <c:showDLblsOverMax val="0"/>
  </c:chart>
  <c:spPr>
    <a:noFill/>
    <a:ln w="22225">
      <a:solidFill>
        <a:schemeClr val="tx1"/>
      </a:solidFill>
    </a:ln>
  </c:spPr>
  <c:printSettings>
    <c:headerFooter/>
    <c:pageMargins b="0.75000000000000133" l="0.70000000000000062" r="0.70000000000000062" t="0.750000000000001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0.19203843020948641"/>
          <c:y val="3.6509876024920444E-2"/>
          <c:w val="0.74283666068547394"/>
          <c:h val="0.83029794761862064"/>
        </c:manualLayout>
      </c:layout>
      <c:barChart>
        <c:barDir val="col"/>
        <c:grouping val="clustered"/>
        <c:varyColors val="0"/>
        <c:ser>
          <c:idx val="0"/>
          <c:order val="0"/>
          <c:tx>
            <c:v>營業現金流</c:v>
          </c:tx>
          <c:spPr>
            <a:solidFill>
              <a:srgbClr val="CC3300"/>
            </a:solidFill>
          </c:spPr>
          <c:invertIfNegative val="0"/>
          <c:cat>
            <c:strRef>
              <c:f>紅綠燈!$O$2:$V$2</c:f>
              <c:strCache>
                <c:ptCount val="8"/>
                <c:pt idx="0">
                  <c:v>Q-7</c:v>
                </c:pt>
                <c:pt idx="1">
                  <c:v>Q-6</c:v>
                </c:pt>
                <c:pt idx="2">
                  <c:v>Q-5</c:v>
                </c:pt>
                <c:pt idx="3">
                  <c:v>Q-4</c:v>
                </c:pt>
                <c:pt idx="4">
                  <c:v>Q-3</c:v>
                </c:pt>
                <c:pt idx="5">
                  <c:v>Q-2</c:v>
                </c:pt>
                <c:pt idx="6">
                  <c:v>Q-1</c:v>
                </c:pt>
                <c:pt idx="7">
                  <c:v>Q</c:v>
                </c:pt>
              </c:strCache>
            </c:strRef>
          </c:cat>
          <c:val>
            <c:numRef>
              <c:f>紅綠燈!$O$15:$V$15</c:f>
              <c:numCache>
                <c:formatCode>General</c:formatCode>
                <c:ptCount val="8"/>
                <c:pt idx="0">
                  <c:v>264</c:v>
                </c:pt>
                <c:pt idx="1">
                  <c:v>419</c:v>
                </c:pt>
                <c:pt idx="2">
                  <c:v>6</c:v>
                </c:pt>
                <c:pt idx="3">
                  <c:v>-22</c:v>
                </c:pt>
                <c:pt idx="4">
                  <c:v>328</c:v>
                </c:pt>
                <c:pt idx="5">
                  <c:v>287</c:v>
                </c:pt>
                <c:pt idx="6">
                  <c:v>-363</c:v>
                </c:pt>
                <c:pt idx="7">
                  <c:v>677</c:v>
                </c:pt>
              </c:numCache>
            </c:numRef>
          </c:val>
        </c:ser>
        <c:ser>
          <c:idx val="2"/>
          <c:order val="2"/>
          <c:tx>
            <c:v>自由</c:v>
          </c:tx>
          <c:spPr>
            <a:solidFill>
              <a:srgbClr val="0000FF"/>
            </a:solidFill>
          </c:spPr>
          <c:invertIfNegative val="0"/>
          <c:val>
            <c:numRef>
              <c:f>紅綠燈!$O$37:$V$37</c:f>
              <c:numCache>
                <c:formatCode>General</c:formatCode>
                <c:ptCount val="8"/>
                <c:pt idx="0">
                  <c:v>66</c:v>
                </c:pt>
                <c:pt idx="1">
                  <c:v>157</c:v>
                </c:pt>
                <c:pt idx="2">
                  <c:v>-325</c:v>
                </c:pt>
                <c:pt idx="3">
                  <c:v>-530</c:v>
                </c:pt>
                <c:pt idx="4">
                  <c:v>216</c:v>
                </c:pt>
                <c:pt idx="5">
                  <c:v>226</c:v>
                </c:pt>
                <c:pt idx="6">
                  <c:v>-396</c:v>
                </c:pt>
                <c:pt idx="7">
                  <c:v>652</c:v>
                </c:pt>
              </c:numCache>
            </c:numRef>
          </c:val>
        </c:ser>
        <c:dLbls>
          <c:showLegendKey val="0"/>
          <c:showVal val="0"/>
          <c:showCatName val="0"/>
          <c:showSerName val="0"/>
          <c:showPercent val="0"/>
          <c:showBubbleSize val="0"/>
        </c:dLbls>
        <c:gapWidth val="100"/>
        <c:axId val="274789200"/>
        <c:axId val="274789760"/>
      </c:barChart>
      <c:lineChart>
        <c:grouping val="standard"/>
        <c:varyColors val="0"/>
        <c:ser>
          <c:idx val="1"/>
          <c:order val="1"/>
          <c:tx>
            <c:strRef>
              <c:f>紅綠燈!$N$24</c:f>
              <c:strCache>
                <c:ptCount val="1"/>
                <c:pt idx="0">
                  <c:v>負債比 </c:v>
                </c:pt>
              </c:strCache>
            </c:strRef>
          </c:tx>
          <c:spPr>
            <a:ln w="44450">
              <a:solidFill>
                <a:srgbClr val="660066"/>
              </a:solidFill>
            </a:ln>
          </c:spPr>
          <c:marker>
            <c:symbol val="none"/>
          </c:marker>
          <c:val>
            <c:numRef>
              <c:f>紅綠燈!$O$24:$V$24</c:f>
              <c:numCache>
                <c:formatCode>0%</c:formatCode>
                <c:ptCount val="8"/>
                <c:pt idx="0">
                  <c:v>0.58552875695732842</c:v>
                </c:pt>
                <c:pt idx="1">
                  <c:v>0.55878327942274197</c:v>
                </c:pt>
                <c:pt idx="2">
                  <c:v>0.56689090377303308</c:v>
                </c:pt>
                <c:pt idx="3">
                  <c:v>0.59095077957811071</c:v>
                </c:pt>
                <c:pt idx="4">
                  <c:v>0.60091100210231252</c:v>
                </c:pt>
                <c:pt idx="5">
                  <c:v>0.59466880219654505</c:v>
                </c:pt>
                <c:pt idx="6">
                  <c:v>0.58238519129870892</c:v>
                </c:pt>
                <c:pt idx="7">
                  <c:v>0.59015982450642435</c:v>
                </c:pt>
              </c:numCache>
            </c:numRef>
          </c:val>
          <c:smooth val="1"/>
        </c:ser>
        <c:dLbls>
          <c:showLegendKey val="0"/>
          <c:showVal val="0"/>
          <c:showCatName val="0"/>
          <c:showSerName val="0"/>
          <c:showPercent val="0"/>
          <c:showBubbleSize val="0"/>
        </c:dLbls>
        <c:marker val="1"/>
        <c:smooth val="0"/>
        <c:axId val="274790880"/>
        <c:axId val="274790320"/>
      </c:lineChart>
      <c:catAx>
        <c:axId val="274789200"/>
        <c:scaling>
          <c:orientation val="minMax"/>
        </c:scaling>
        <c:delete val="0"/>
        <c:axPos val="b"/>
        <c:numFmt formatCode="General" sourceLinked="0"/>
        <c:majorTickMark val="none"/>
        <c:minorTickMark val="none"/>
        <c:tickLblPos val="low"/>
        <c:crossAx val="274789760"/>
        <c:crosses val="autoZero"/>
        <c:auto val="1"/>
        <c:lblAlgn val="ctr"/>
        <c:lblOffset val="100"/>
        <c:noMultiLvlLbl val="0"/>
      </c:catAx>
      <c:valAx>
        <c:axId val="274789760"/>
        <c:scaling>
          <c:orientation val="minMax"/>
        </c:scaling>
        <c:delete val="0"/>
        <c:axPos val="l"/>
        <c:numFmt formatCode="General" sourceLinked="1"/>
        <c:majorTickMark val="none"/>
        <c:minorTickMark val="none"/>
        <c:tickLblPos val="nextTo"/>
        <c:crossAx val="274789200"/>
        <c:crosses val="autoZero"/>
        <c:crossBetween val="between"/>
      </c:valAx>
      <c:valAx>
        <c:axId val="274790320"/>
        <c:scaling>
          <c:orientation val="minMax"/>
        </c:scaling>
        <c:delete val="0"/>
        <c:axPos val="r"/>
        <c:numFmt formatCode="0%" sourceLinked="1"/>
        <c:majorTickMark val="out"/>
        <c:minorTickMark val="none"/>
        <c:tickLblPos val="nextTo"/>
        <c:crossAx val="274790880"/>
        <c:crosses val="max"/>
        <c:crossBetween val="between"/>
      </c:valAx>
      <c:catAx>
        <c:axId val="274790880"/>
        <c:scaling>
          <c:orientation val="minMax"/>
        </c:scaling>
        <c:delete val="1"/>
        <c:axPos val="b"/>
        <c:majorTickMark val="out"/>
        <c:minorTickMark val="none"/>
        <c:tickLblPos val="none"/>
        <c:crossAx val="274790320"/>
        <c:crosses val="autoZero"/>
        <c:auto val="1"/>
        <c:lblAlgn val="ctr"/>
        <c:lblOffset val="100"/>
        <c:noMultiLvlLbl val="0"/>
      </c:catAx>
      <c:spPr>
        <a:noFill/>
      </c:spPr>
    </c:plotArea>
    <c:plotVisOnly val="1"/>
    <c:dispBlanksAs val="gap"/>
    <c:showDLblsOverMax val="0"/>
  </c:chart>
  <c:spPr>
    <a:noFill/>
    <a:ln w="22225">
      <a:solidFill>
        <a:schemeClr val="tx1"/>
      </a:solidFill>
    </a:ln>
  </c:spPr>
  <c:printSettings>
    <c:headerFooter/>
    <c:pageMargins b="0.75000000000000133" l="0.70000000000000062" r="0.70000000000000062" t="0.750000000000001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817963504086609E-2"/>
          <c:y val="4.0887267983530318E-2"/>
          <c:w val="0.8082066239121487"/>
          <c:h val="0.81755676144755107"/>
        </c:manualLayout>
      </c:layout>
      <c:barChart>
        <c:barDir val="col"/>
        <c:grouping val="clustered"/>
        <c:varyColors val="0"/>
        <c:ser>
          <c:idx val="0"/>
          <c:order val="0"/>
          <c:tx>
            <c:v>營業現金比</c:v>
          </c:tx>
          <c:spPr>
            <a:solidFill>
              <a:srgbClr val="660066"/>
            </a:solidFill>
            <a:scene3d>
              <a:camera prst="orthographicFront"/>
              <a:lightRig rig="threePt" dir="t"/>
            </a:scene3d>
            <a:sp3d>
              <a:bevelT/>
              <a:bevelB/>
            </a:sp3d>
          </c:spPr>
          <c:invertIfNegative val="0"/>
          <c:cat>
            <c:strRef>
              <c:f>紅綠燈!$O$2:$V$2</c:f>
              <c:strCache>
                <c:ptCount val="8"/>
                <c:pt idx="0">
                  <c:v>Q-7</c:v>
                </c:pt>
                <c:pt idx="1">
                  <c:v>Q-6</c:v>
                </c:pt>
                <c:pt idx="2">
                  <c:v>Q-5</c:v>
                </c:pt>
                <c:pt idx="3">
                  <c:v>Q-4</c:v>
                </c:pt>
                <c:pt idx="4">
                  <c:v>Q-3</c:v>
                </c:pt>
                <c:pt idx="5">
                  <c:v>Q-2</c:v>
                </c:pt>
                <c:pt idx="6">
                  <c:v>Q-1</c:v>
                </c:pt>
                <c:pt idx="7">
                  <c:v>Q</c:v>
                </c:pt>
              </c:strCache>
            </c:strRef>
          </c:cat>
          <c:val>
            <c:numRef>
              <c:f>紅綠燈!$O$32:$V$32</c:f>
              <c:numCache>
                <c:formatCode>0.00_ </c:formatCode>
                <c:ptCount val="8"/>
                <c:pt idx="0">
                  <c:v>1.0517928286852589</c:v>
                </c:pt>
                <c:pt idx="1">
                  <c:v>2.277173913043478</c:v>
                </c:pt>
                <c:pt idx="2">
                  <c:v>0</c:v>
                </c:pt>
                <c:pt idx="3">
                  <c:v>0</c:v>
                </c:pt>
                <c:pt idx="4">
                  <c:v>3.3131313131313131</c:v>
                </c:pt>
                <c:pt idx="5">
                  <c:v>1.9261744966442953</c:v>
                </c:pt>
                <c:pt idx="6">
                  <c:v>0</c:v>
                </c:pt>
                <c:pt idx="7">
                  <c:v>9.535211267605634</c:v>
                </c:pt>
              </c:numCache>
            </c:numRef>
          </c:val>
        </c:ser>
        <c:dLbls>
          <c:showLegendKey val="0"/>
          <c:showVal val="0"/>
          <c:showCatName val="0"/>
          <c:showSerName val="0"/>
          <c:showPercent val="0"/>
          <c:showBubbleSize val="0"/>
        </c:dLbls>
        <c:gapWidth val="150"/>
        <c:axId val="274794240"/>
        <c:axId val="274794800"/>
      </c:barChart>
      <c:lineChart>
        <c:grouping val="standard"/>
        <c:varyColors val="0"/>
        <c:ser>
          <c:idx val="2"/>
          <c:order val="1"/>
          <c:tx>
            <c:v>ROE</c:v>
          </c:tx>
          <c:spPr>
            <a:ln w="44450">
              <a:solidFill>
                <a:srgbClr val="FFFF00"/>
              </a:solidFill>
            </a:ln>
          </c:spPr>
          <c:marker>
            <c:symbol val="none"/>
          </c:marker>
          <c:val>
            <c:numRef>
              <c:f>紅綠燈!$O$36:$V$36</c:f>
              <c:numCache>
                <c:formatCode>0%</c:formatCode>
                <c:ptCount val="8"/>
                <c:pt idx="1">
                  <c:v>4.6505033319154968E-2</c:v>
                </c:pt>
                <c:pt idx="2">
                  <c:v>4.6505033319154968E-2</c:v>
                </c:pt>
                <c:pt idx="3">
                  <c:v>4.6296296296296294E-2</c:v>
                </c:pt>
                <c:pt idx="4">
                  <c:v>4.1669745105282603E-2</c:v>
                </c:pt>
                <c:pt idx="5">
                  <c:v>3.7306064880112837E-2</c:v>
                </c:pt>
                <c:pt idx="6">
                  <c:v>3.4856432909994475E-2</c:v>
                </c:pt>
                <c:pt idx="7">
                  <c:v>3.3184670043087158E-2</c:v>
                </c:pt>
              </c:numCache>
            </c:numRef>
          </c:val>
          <c:smooth val="1"/>
        </c:ser>
        <c:dLbls>
          <c:showLegendKey val="0"/>
          <c:showVal val="0"/>
          <c:showCatName val="0"/>
          <c:showSerName val="0"/>
          <c:showPercent val="0"/>
          <c:showBubbleSize val="0"/>
        </c:dLbls>
        <c:marker val="1"/>
        <c:smooth val="0"/>
        <c:axId val="274795920"/>
        <c:axId val="274795360"/>
      </c:lineChart>
      <c:catAx>
        <c:axId val="274794240"/>
        <c:scaling>
          <c:orientation val="minMax"/>
        </c:scaling>
        <c:delete val="0"/>
        <c:axPos val="b"/>
        <c:numFmt formatCode="General" sourceLinked="0"/>
        <c:majorTickMark val="none"/>
        <c:minorTickMark val="none"/>
        <c:tickLblPos val="nextTo"/>
        <c:crossAx val="274794800"/>
        <c:crosses val="autoZero"/>
        <c:auto val="1"/>
        <c:lblAlgn val="ctr"/>
        <c:lblOffset val="100"/>
        <c:noMultiLvlLbl val="0"/>
      </c:catAx>
      <c:valAx>
        <c:axId val="274794800"/>
        <c:scaling>
          <c:orientation val="minMax"/>
        </c:scaling>
        <c:delete val="0"/>
        <c:axPos val="l"/>
        <c:numFmt formatCode="0.00_ " sourceLinked="1"/>
        <c:majorTickMark val="none"/>
        <c:minorTickMark val="none"/>
        <c:tickLblPos val="nextTo"/>
        <c:crossAx val="274794240"/>
        <c:crosses val="autoZero"/>
        <c:crossBetween val="between"/>
      </c:valAx>
      <c:valAx>
        <c:axId val="274795360"/>
        <c:scaling>
          <c:orientation val="minMax"/>
        </c:scaling>
        <c:delete val="0"/>
        <c:axPos val="r"/>
        <c:numFmt formatCode="0%" sourceLinked="1"/>
        <c:majorTickMark val="out"/>
        <c:minorTickMark val="none"/>
        <c:tickLblPos val="nextTo"/>
        <c:crossAx val="274795920"/>
        <c:crosses val="max"/>
        <c:crossBetween val="between"/>
      </c:valAx>
      <c:catAx>
        <c:axId val="274795920"/>
        <c:scaling>
          <c:orientation val="minMax"/>
        </c:scaling>
        <c:delete val="1"/>
        <c:axPos val="b"/>
        <c:majorTickMark val="out"/>
        <c:minorTickMark val="none"/>
        <c:tickLblPos val="none"/>
        <c:crossAx val="274795360"/>
        <c:crosses val="autoZero"/>
        <c:auto val="1"/>
        <c:lblAlgn val="ctr"/>
        <c:lblOffset val="100"/>
        <c:noMultiLvlLbl val="0"/>
      </c:catAx>
      <c:spPr>
        <a:noFill/>
      </c:spPr>
    </c:plotArea>
    <c:plotVisOnly val="1"/>
    <c:dispBlanksAs val="gap"/>
    <c:showDLblsOverMax val="0"/>
  </c:chart>
  <c:spPr>
    <a:noFill/>
    <a:ln w="22225">
      <a:solidFill>
        <a:schemeClr val="tx1"/>
      </a:solidFill>
    </a:ln>
  </c:spPr>
  <c:printSettings>
    <c:headerFooter/>
    <c:pageMargins b="0.75000000000000133" l="0.70000000000000062" r="0.70000000000000062" t="0.75000000000000133"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65110398395406"/>
          <c:y val="3.130194005401267E-2"/>
          <c:w val="0.80923993043626907"/>
          <c:h val="0.81522564091420169"/>
        </c:manualLayout>
      </c:layout>
      <c:barChart>
        <c:barDir val="col"/>
        <c:grouping val="clustered"/>
        <c:varyColors val="0"/>
        <c:ser>
          <c:idx val="0"/>
          <c:order val="0"/>
          <c:tx>
            <c:v>資本支出</c:v>
          </c:tx>
          <c:spPr>
            <a:solidFill>
              <a:srgbClr val="3399FF"/>
            </a:solidFill>
            <a:scene3d>
              <a:camera prst="orthographicFront"/>
              <a:lightRig rig="threePt" dir="t"/>
            </a:scene3d>
            <a:sp3d>
              <a:bevelT/>
              <a:bevelB/>
            </a:sp3d>
          </c:spPr>
          <c:invertIfNegative val="0"/>
          <c:cat>
            <c:strRef>
              <c:f>紅綠燈!$O$2:$V$2</c:f>
              <c:strCache>
                <c:ptCount val="8"/>
                <c:pt idx="0">
                  <c:v>Q-7</c:v>
                </c:pt>
                <c:pt idx="1">
                  <c:v>Q-6</c:v>
                </c:pt>
                <c:pt idx="2">
                  <c:v>Q-5</c:v>
                </c:pt>
                <c:pt idx="3">
                  <c:v>Q-4</c:v>
                </c:pt>
                <c:pt idx="4">
                  <c:v>Q-3</c:v>
                </c:pt>
                <c:pt idx="5">
                  <c:v>Q-2</c:v>
                </c:pt>
                <c:pt idx="6">
                  <c:v>Q-1</c:v>
                </c:pt>
                <c:pt idx="7">
                  <c:v>Q</c:v>
                </c:pt>
              </c:strCache>
            </c:strRef>
          </c:cat>
          <c:val>
            <c:numRef>
              <c:f>紅綠燈!$O$16:$V$16</c:f>
              <c:numCache>
                <c:formatCode>General</c:formatCode>
                <c:ptCount val="8"/>
                <c:pt idx="0">
                  <c:v>198</c:v>
                </c:pt>
                <c:pt idx="1">
                  <c:v>262</c:v>
                </c:pt>
                <c:pt idx="2">
                  <c:v>331</c:v>
                </c:pt>
                <c:pt idx="3">
                  <c:v>508</c:v>
                </c:pt>
                <c:pt idx="4">
                  <c:v>112</c:v>
                </c:pt>
                <c:pt idx="5">
                  <c:v>61</c:v>
                </c:pt>
                <c:pt idx="6">
                  <c:v>33</c:v>
                </c:pt>
                <c:pt idx="7">
                  <c:v>25</c:v>
                </c:pt>
              </c:numCache>
            </c:numRef>
          </c:val>
        </c:ser>
        <c:dLbls>
          <c:showLegendKey val="0"/>
          <c:showVal val="0"/>
          <c:showCatName val="0"/>
          <c:showSerName val="0"/>
          <c:showPercent val="0"/>
          <c:showBubbleSize val="0"/>
        </c:dLbls>
        <c:gapWidth val="150"/>
        <c:axId val="274799280"/>
        <c:axId val="274799840"/>
      </c:barChart>
      <c:lineChart>
        <c:grouping val="standard"/>
        <c:varyColors val="0"/>
        <c:ser>
          <c:idx val="1"/>
          <c:order val="1"/>
          <c:tx>
            <c:v>折舊率</c:v>
          </c:tx>
          <c:spPr>
            <a:ln w="44450">
              <a:prstDash val="sysDash"/>
            </a:ln>
          </c:spPr>
          <c:marker>
            <c:symbol val="none"/>
          </c:marker>
          <c:val>
            <c:numRef>
              <c:f>紅綠燈!$O$31:$V$31</c:f>
              <c:numCache>
                <c:formatCode>0%</c:formatCode>
                <c:ptCount val="8"/>
                <c:pt idx="0">
                  <c:v>3.2325581395348836E-2</c:v>
                </c:pt>
                <c:pt idx="1">
                  <c:v>4.2943361188486538E-2</c:v>
                </c:pt>
                <c:pt idx="2">
                  <c:v>3.2332563510392612E-2</c:v>
                </c:pt>
                <c:pt idx="3">
                  <c:v>3.6235086168802472E-2</c:v>
                </c:pt>
                <c:pt idx="4">
                  <c:v>3.7436687954195108E-2</c:v>
                </c:pt>
                <c:pt idx="5">
                  <c:v>5.5665132588209508E-2</c:v>
                </c:pt>
                <c:pt idx="6">
                  <c:v>4.5341922695738356E-2</c:v>
                </c:pt>
                <c:pt idx="7">
                  <c:v>4.645161290322581E-2</c:v>
                </c:pt>
              </c:numCache>
            </c:numRef>
          </c:val>
          <c:smooth val="1"/>
        </c:ser>
        <c:ser>
          <c:idx val="2"/>
          <c:order val="2"/>
          <c:tx>
            <c:strRef>
              <c:f>紅綠燈!$N$30</c:f>
              <c:strCache>
                <c:ptCount val="1"/>
                <c:pt idx="0">
                  <c:v>折舊與攤提率</c:v>
                </c:pt>
              </c:strCache>
            </c:strRef>
          </c:tx>
          <c:spPr>
            <a:ln w="47625">
              <a:solidFill>
                <a:srgbClr val="FF3300"/>
              </a:solidFill>
            </a:ln>
          </c:spPr>
          <c:marker>
            <c:symbol val="none"/>
          </c:marker>
          <c:val>
            <c:numRef>
              <c:f>紅綠燈!$O$30:$V$30</c:f>
              <c:numCache>
                <c:formatCode>0%</c:formatCode>
                <c:ptCount val="8"/>
                <c:pt idx="0">
                  <c:v>4.5814759782070329E-2</c:v>
                </c:pt>
                <c:pt idx="1">
                  <c:v>4.5814759782070329E-2</c:v>
                </c:pt>
                <c:pt idx="2">
                  <c:v>3.5202413879808901E-2</c:v>
                </c:pt>
                <c:pt idx="3">
                  <c:v>3.5862672206429039E-2</c:v>
                </c:pt>
                <c:pt idx="4">
                  <c:v>3.8513819664703214E-2</c:v>
                </c:pt>
                <c:pt idx="5">
                  <c:v>5.0148075024679169E-2</c:v>
                </c:pt>
                <c:pt idx="6">
                  <c:v>4.0397350993377483E-2</c:v>
                </c:pt>
                <c:pt idx="7">
                  <c:v>4.4876589379207181E-2</c:v>
                </c:pt>
              </c:numCache>
            </c:numRef>
          </c:val>
          <c:smooth val="1"/>
        </c:ser>
        <c:dLbls>
          <c:showLegendKey val="0"/>
          <c:showVal val="0"/>
          <c:showCatName val="0"/>
          <c:showSerName val="0"/>
          <c:showPercent val="0"/>
          <c:showBubbleSize val="0"/>
        </c:dLbls>
        <c:marker val="1"/>
        <c:smooth val="0"/>
        <c:axId val="274800960"/>
        <c:axId val="274800400"/>
      </c:lineChart>
      <c:catAx>
        <c:axId val="274799280"/>
        <c:scaling>
          <c:orientation val="minMax"/>
        </c:scaling>
        <c:delete val="0"/>
        <c:axPos val="b"/>
        <c:numFmt formatCode="General" sourceLinked="0"/>
        <c:majorTickMark val="none"/>
        <c:minorTickMark val="none"/>
        <c:tickLblPos val="low"/>
        <c:crossAx val="274799840"/>
        <c:crosses val="autoZero"/>
        <c:auto val="1"/>
        <c:lblAlgn val="ctr"/>
        <c:lblOffset val="100"/>
        <c:noMultiLvlLbl val="0"/>
      </c:catAx>
      <c:valAx>
        <c:axId val="274799840"/>
        <c:scaling>
          <c:orientation val="minMax"/>
        </c:scaling>
        <c:delete val="0"/>
        <c:axPos val="l"/>
        <c:numFmt formatCode="General" sourceLinked="1"/>
        <c:majorTickMark val="none"/>
        <c:minorTickMark val="none"/>
        <c:tickLblPos val="nextTo"/>
        <c:crossAx val="274799280"/>
        <c:crosses val="autoZero"/>
        <c:crossBetween val="between"/>
      </c:valAx>
      <c:valAx>
        <c:axId val="274800400"/>
        <c:scaling>
          <c:orientation val="minMax"/>
        </c:scaling>
        <c:delete val="0"/>
        <c:axPos val="r"/>
        <c:numFmt formatCode="0%" sourceLinked="1"/>
        <c:majorTickMark val="none"/>
        <c:minorTickMark val="none"/>
        <c:tickLblPos val="nextTo"/>
        <c:crossAx val="274800960"/>
        <c:crosses val="max"/>
        <c:crossBetween val="between"/>
      </c:valAx>
      <c:catAx>
        <c:axId val="274800960"/>
        <c:scaling>
          <c:orientation val="minMax"/>
        </c:scaling>
        <c:delete val="1"/>
        <c:axPos val="b"/>
        <c:majorTickMark val="out"/>
        <c:minorTickMark val="none"/>
        <c:tickLblPos val="none"/>
        <c:crossAx val="274800400"/>
        <c:crosses val="autoZero"/>
        <c:auto val="1"/>
        <c:lblAlgn val="ctr"/>
        <c:lblOffset val="100"/>
        <c:noMultiLvlLbl val="0"/>
      </c:catAx>
      <c:spPr>
        <a:noFill/>
      </c:spPr>
    </c:plotArea>
    <c:plotVisOnly val="1"/>
    <c:dispBlanksAs val="gap"/>
    <c:showDLblsOverMax val="0"/>
  </c:chart>
  <c:spPr>
    <a:noFill/>
    <a:ln w="22225">
      <a:solidFill>
        <a:schemeClr val="tx1"/>
      </a:solidFill>
    </a:ln>
  </c:spPr>
  <c:printSettings>
    <c:headerFooter/>
    <c:pageMargins b="0.75000000000000133" l="0.70000000000000062" r="0.70000000000000062" t="0.750000000000001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61331854539959"/>
          <c:y val="3.1014740639755668E-2"/>
          <c:w val="0.80613767382168833"/>
          <c:h val="0.81522571527106802"/>
        </c:manualLayout>
      </c:layout>
      <c:barChart>
        <c:barDir val="col"/>
        <c:grouping val="clustered"/>
        <c:varyColors val="0"/>
        <c:ser>
          <c:idx val="0"/>
          <c:order val="0"/>
          <c:tx>
            <c:strRef>
              <c:f>紅綠燈!$N$9</c:f>
              <c:strCache>
                <c:ptCount val="1"/>
                <c:pt idx="0">
                  <c:v>每股盈餘 (元)</c:v>
                </c:pt>
              </c:strCache>
            </c:strRef>
          </c:tx>
          <c:spPr>
            <a:solidFill>
              <a:srgbClr val="FF33CC"/>
            </a:solidFill>
            <a:scene3d>
              <a:camera prst="orthographicFront"/>
              <a:lightRig rig="threePt" dir="t"/>
            </a:scene3d>
            <a:sp3d>
              <a:bevelT/>
              <a:bevelB/>
            </a:sp3d>
          </c:spPr>
          <c:invertIfNegative val="0"/>
          <c:dLbls>
            <c:dLbl>
              <c:idx val="3"/>
              <c:layout/>
              <c:showLegendKey val="0"/>
              <c:showVal val="1"/>
              <c:showCatName val="0"/>
              <c:showSerName val="0"/>
              <c:showPercent val="0"/>
              <c:showBubbleSize val="0"/>
              <c:extLst>
                <c:ext xmlns:c15="http://schemas.microsoft.com/office/drawing/2012/chart" uri="{CE6537A1-D6FC-4f65-9D91-7224C49458BB}">
                  <c15:layout/>
                </c:ext>
              </c:extLst>
            </c:dLbl>
            <c:dLbl>
              <c:idx val="6"/>
              <c:layout/>
              <c:showLegendKey val="0"/>
              <c:showVal val="1"/>
              <c:showCatName val="0"/>
              <c:showSerName val="0"/>
              <c:showPercent val="0"/>
              <c:showBubbleSize val="0"/>
              <c:extLst>
                <c:ext xmlns:c15="http://schemas.microsoft.com/office/drawing/2012/chart" uri="{CE6537A1-D6FC-4f65-9D91-7224C49458BB}">
                  <c15:layout/>
                </c:ext>
              </c:extLst>
            </c:dLbl>
            <c:dLbl>
              <c:idx val="7"/>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1400" b="1"/>
                </a:pPr>
                <a:endParaRPr lang="zh-TW"/>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紅綠燈!$O$2:$V$2</c:f>
              <c:strCache>
                <c:ptCount val="8"/>
                <c:pt idx="0">
                  <c:v>Q-7</c:v>
                </c:pt>
                <c:pt idx="1">
                  <c:v>Q-6</c:v>
                </c:pt>
                <c:pt idx="2">
                  <c:v>Q-5</c:v>
                </c:pt>
                <c:pt idx="3">
                  <c:v>Q-4</c:v>
                </c:pt>
                <c:pt idx="4">
                  <c:v>Q-3</c:v>
                </c:pt>
                <c:pt idx="5">
                  <c:v>Q-2</c:v>
                </c:pt>
                <c:pt idx="6">
                  <c:v>Q-1</c:v>
                </c:pt>
                <c:pt idx="7">
                  <c:v>Q</c:v>
                </c:pt>
              </c:strCache>
            </c:strRef>
          </c:cat>
          <c:val>
            <c:numRef>
              <c:f>紅綠燈!$O$9:$V$9</c:f>
              <c:numCache>
                <c:formatCode>General</c:formatCode>
                <c:ptCount val="8"/>
                <c:pt idx="0">
                  <c:v>0.77</c:v>
                </c:pt>
                <c:pt idx="1">
                  <c:v>0.56999999999999995</c:v>
                </c:pt>
                <c:pt idx="2">
                  <c:v>0.44</c:v>
                </c:pt>
                <c:pt idx="3">
                  <c:v>0.42</c:v>
                </c:pt>
                <c:pt idx="4">
                  <c:v>0.3</c:v>
                </c:pt>
                <c:pt idx="5">
                  <c:v>0.46</c:v>
                </c:pt>
                <c:pt idx="6">
                  <c:v>0.38</c:v>
                </c:pt>
                <c:pt idx="7">
                  <c:v>0.23</c:v>
                </c:pt>
              </c:numCache>
            </c:numRef>
          </c:val>
        </c:ser>
        <c:dLbls>
          <c:showLegendKey val="0"/>
          <c:showVal val="0"/>
          <c:showCatName val="0"/>
          <c:showSerName val="0"/>
          <c:showPercent val="0"/>
          <c:showBubbleSize val="0"/>
        </c:dLbls>
        <c:gapWidth val="150"/>
        <c:axId val="274674864"/>
        <c:axId val="274675424"/>
      </c:barChart>
      <c:lineChart>
        <c:grouping val="standard"/>
        <c:varyColors val="0"/>
        <c:ser>
          <c:idx val="1"/>
          <c:order val="1"/>
          <c:tx>
            <c:strRef>
              <c:f>紅綠燈!$N$35</c:f>
              <c:strCache>
                <c:ptCount val="1"/>
                <c:pt idx="0">
                  <c:v>本業比率</c:v>
                </c:pt>
              </c:strCache>
            </c:strRef>
          </c:tx>
          <c:spPr>
            <a:ln w="44450"/>
          </c:spPr>
          <c:marker>
            <c:symbol val="none"/>
          </c:marker>
          <c:val>
            <c:numRef>
              <c:f>紅綠燈!$O$35:$V$35</c:f>
              <c:numCache>
                <c:formatCode>0%</c:formatCode>
                <c:ptCount val="8"/>
                <c:pt idx="0">
                  <c:v>0.9325</c:v>
                </c:pt>
                <c:pt idx="1">
                  <c:v>0</c:v>
                </c:pt>
                <c:pt idx="2">
                  <c:v>1.025974025974026</c:v>
                </c:pt>
                <c:pt idx="3">
                  <c:v>1.0726495726495726</c:v>
                </c:pt>
                <c:pt idx="4">
                  <c:v>0.95108695652173914</c:v>
                </c:pt>
                <c:pt idx="5">
                  <c:v>0.89323843416370108</c:v>
                </c:pt>
                <c:pt idx="6">
                  <c:v>1.174757281553398</c:v>
                </c:pt>
                <c:pt idx="7">
                  <c:v>1.0671140939597314</c:v>
                </c:pt>
              </c:numCache>
            </c:numRef>
          </c:val>
          <c:smooth val="1"/>
        </c:ser>
        <c:dLbls>
          <c:showLegendKey val="0"/>
          <c:showVal val="0"/>
          <c:showCatName val="0"/>
          <c:showSerName val="0"/>
          <c:showPercent val="0"/>
          <c:showBubbleSize val="0"/>
        </c:dLbls>
        <c:marker val="1"/>
        <c:smooth val="0"/>
        <c:axId val="274676544"/>
        <c:axId val="274675984"/>
      </c:lineChart>
      <c:catAx>
        <c:axId val="274674864"/>
        <c:scaling>
          <c:orientation val="minMax"/>
        </c:scaling>
        <c:delete val="0"/>
        <c:axPos val="b"/>
        <c:numFmt formatCode="General" sourceLinked="0"/>
        <c:majorTickMark val="none"/>
        <c:minorTickMark val="none"/>
        <c:tickLblPos val="low"/>
        <c:crossAx val="274675424"/>
        <c:crosses val="autoZero"/>
        <c:auto val="1"/>
        <c:lblAlgn val="ctr"/>
        <c:lblOffset val="100"/>
        <c:noMultiLvlLbl val="0"/>
      </c:catAx>
      <c:valAx>
        <c:axId val="274675424"/>
        <c:scaling>
          <c:orientation val="minMax"/>
        </c:scaling>
        <c:delete val="0"/>
        <c:axPos val="l"/>
        <c:numFmt formatCode="General" sourceLinked="1"/>
        <c:majorTickMark val="none"/>
        <c:minorTickMark val="none"/>
        <c:tickLblPos val="nextTo"/>
        <c:crossAx val="274674864"/>
        <c:crosses val="autoZero"/>
        <c:crossBetween val="between"/>
      </c:valAx>
      <c:valAx>
        <c:axId val="274675984"/>
        <c:scaling>
          <c:orientation val="minMax"/>
        </c:scaling>
        <c:delete val="0"/>
        <c:axPos val="r"/>
        <c:numFmt formatCode="0%" sourceLinked="1"/>
        <c:majorTickMark val="none"/>
        <c:minorTickMark val="none"/>
        <c:tickLblPos val="nextTo"/>
        <c:crossAx val="274676544"/>
        <c:crosses val="max"/>
        <c:crossBetween val="between"/>
      </c:valAx>
      <c:catAx>
        <c:axId val="274676544"/>
        <c:scaling>
          <c:orientation val="minMax"/>
        </c:scaling>
        <c:delete val="1"/>
        <c:axPos val="b"/>
        <c:majorTickMark val="out"/>
        <c:minorTickMark val="none"/>
        <c:tickLblPos val="none"/>
        <c:crossAx val="274675984"/>
        <c:crosses val="autoZero"/>
        <c:auto val="1"/>
        <c:lblAlgn val="ctr"/>
        <c:lblOffset val="100"/>
        <c:noMultiLvlLbl val="0"/>
      </c:catAx>
      <c:spPr>
        <a:noFill/>
        <a:ln w="22225">
          <a:solidFill>
            <a:schemeClr val="tx1"/>
          </a:solidFill>
        </a:ln>
      </c:spPr>
    </c:plotArea>
    <c:plotVisOnly val="1"/>
    <c:dispBlanksAs val="gap"/>
    <c:showDLblsOverMax val="0"/>
  </c:chart>
  <c:spPr>
    <a:noFill/>
    <a:ln w="22225">
      <a:solidFill>
        <a:schemeClr val="tx1"/>
      </a:solidFill>
    </a:ln>
  </c:spPr>
  <c:printSettings>
    <c:headerFooter/>
    <c:pageMargins b="0.75000000000000133" l="0.70000000000000062" r="0.70000000000000062" t="0.750000000000001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zh-TW" altLang="en-US">
                <a:solidFill>
                  <a:schemeClr val="tx1"/>
                </a:solidFill>
              </a:rPr>
              <a:t>營業收入淨額</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zh-TW"/>
        </a:p>
      </c:txPr>
    </c:title>
    <c:autoTitleDeleted val="0"/>
    <c:plotArea>
      <c:layout>
        <c:manualLayout>
          <c:layoutTarget val="inner"/>
          <c:xMode val="edge"/>
          <c:yMode val="edge"/>
          <c:x val="5.1113118437149281E-3"/>
          <c:y val="0.10552142644975265"/>
          <c:w val="0.98772179724462916"/>
          <c:h val="0.78942632108790067"/>
        </c:manualLayout>
      </c:layout>
      <c:barChart>
        <c:barDir val="col"/>
        <c:grouping val="clustered"/>
        <c:varyColors val="0"/>
        <c:ser>
          <c:idx val="0"/>
          <c:order val="0"/>
          <c:tx>
            <c:v>營業外收入合計</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val>
            <c:numRef>
              <c:f>紅綠燈!$O$3:$R$3</c:f>
              <c:numCache>
                <c:formatCode>General</c:formatCode>
                <c:ptCount val="4"/>
                <c:pt idx="0">
                  <c:v>4995</c:v>
                </c:pt>
                <c:pt idx="1">
                  <c:v>4936</c:v>
                </c:pt>
                <c:pt idx="2">
                  <c:v>4900</c:v>
                </c:pt>
                <c:pt idx="3">
                  <c:v>5081</c:v>
                </c:pt>
              </c:numCache>
            </c:numRef>
          </c:val>
        </c:ser>
        <c:ser>
          <c:idx val="1"/>
          <c:order val="1"/>
          <c:tx>
            <c:v> 應付帳款及票據</c:v>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val>
            <c:numRef>
              <c:f>紅綠燈!$S$3:$V$3</c:f>
              <c:numCache>
                <c:formatCode>General</c:formatCode>
                <c:ptCount val="4"/>
                <c:pt idx="0">
                  <c:v>5038</c:v>
                </c:pt>
                <c:pt idx="1">
                  <c:v>5126</c:v>
                </c:pt>
                <c:pt idx="2">
                  <c:v>4550</c:v>
                </c:pt>
                <c:pt idx="3">
                  <c:v>4345</c:v>
                </c:pt>
              </c:numCache>
            </c:numRef>
          </c:val>
        </c:ser>
        <c:dLbls>
          <c:showLegendKey val="0"/>
          <c:showVal val="0"/>
          <c:showCatName val="0"/>
          <c:showSerName val="0"/>
          <c:showPercent val="0"/>
          <c:showBubbleSize val="0"/>
        </c:dLbls>
        <c:gapWidth val="100"/>
        <c:axId val="274679904"/>
        <c:axId val="274680464"/>
      </c:barChart>
      <c:catAx>
        <c:axId val="274679904"/>
        <c:scaling>
          <c:orientation val="minMax"/>
        </c:scaling>
        <c:delete val="1"/>
        <c:axPos val="b"/>
        <c:majorTickMark val="none"/>
        <c:minorTickMark val="none"/>
        <c:tickLblPos val="nextTo"/>
        <c:crossAx val="274680464"/>
        <c:crosses val="autoZero"/>
        <c:auto val="1"/>
        <c:lblAlgn val="ctr"/>
        <c:lblOffset val="100"/>
        <c:noMultiLvlLbl val="0"/>
      </c:catAx>
      <c:valAx>
        <c:axId val="274680464"/>
        <c:scaling>
          <c:orientation val="minMax"/>
        </c:scaling>
        <c:delete val="1"/>
        <c:axPos val="l"/>
        <c:numFmt formatCode="General" sourceLinked="1"/>
        <c:majorTickMark val="none"/>
        <c:minorTickMark val="none"/>
        <c:tickLblPos val="nextTo"/>
        <c:crossAx val="274679904"/>
        <c:crosses val="autoZero"/>
        <c:crossBetween val="between"/>
      </c:valAx>
      <c:spPr>
        <a:noFill/>
        <a:ln>
          <a:noFill/>
        </a:ln>
        <a:effectLst/>
      </c:spPr>
    </c:plotArea>
    <c:plotVisOnly val="1"/>
    <c:dispBlanksAs val="gap"/>
    <c:showDLblsOverMax val="0"/>
  </c:chart>
  <c:spPr>
    <a:solidFill>
      <a:schemeClr val="tx2">
        <a:lumMod val="20000"/>
        <a:lumOff val="80000"/>
      </a:schemeClr>
    </a:solidFill>
    <a:ln w="19050" cap="flat" cmpd="sng" algn="ctr">
      <a:solidFill>
        <a:schemeClr val="tx1"/>
      </a:solidFill>
      <a:round/>
    </a:ln>
    <a:effectLst/>
  </c:spPr>
  <c:txPr>
    <a:bodyPr/>
    <a:lstStyle/>
    <a:p>
      <a:pPr>
        <a:defRPr/>
      </a:pPr>
      <a:endParaRPr lang="zh-TW"/>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0" baseline="0">
                <a:solidFill>
                  <a:schemeClr val="tx1"/>
                </a:solidFill>
                <a:latin typeface="+mn-lt"/>
                <a:ea typeface="+mn-ea"/>
                <a:cs typeface="+mn-cs"/>
              </a:defRPr>
            </a:pPr>
            <a:r>
              <a:rPr lang="zh-TW" altLang="en-US" sz="1600" b="1">
                <a:solidFill>
                  <a:schemeClr val="tx1"/>
                </a:solidFill>
              </a:rPr>
              <a:t>營運天數</a:t>
            </a:r>
          </a:p>
        </c:rich>
      </c:tx>
      <c:layout/>
      <c:overlay val="0"/>
      <c:spPr>
        <a:noFill/>
        <a:ln>
          <a:noFill/>
        </a:ln>
        <a:effectLst/>
      </c:spPr>
      <c:txPr>
        <a:bodyPr rot="0" spcFirstLastPara="1" vertOverflow="ellipsis" vert="horz" wrap="square" anchor="ctr" anchorCtr="1"/>
        <a:lstStyle/>
        <a:p>
          <a:pPr>
            <a:defRPr sz="1600" b="1" i="0" u="none" strike="noStrike" kern="1200" cap="all" spc="0" baseline="0">
              <a:solidFill>
                <a:schemeClr val="tx1"/>
              </a:solidFill>
              <a:latin typeface="+mn-lt"/>
              <a:ea typeface="+mn-ea"/>
              <a:cs typeface="+mn-cs"/>
            </a:defRPr>
          </a:pPr>
          <a:endParaRPr lang="zh-TW"/>
        </a:p>
      </c:txPr>
    </c:title>
    <c:autoTitleDeleted val="0"/>
    <c:plotArea>
      <c:layout>
        <c:manualLayout>
          <c:layoutTarget val="inner"/>
          <c:xMode val="edge"/>
          <c:yMode val="edge"/>
          <c:x val="8.8065225125771845E-3"/>
          <c:y val="0.1350139711628823"/>
          <c:w val="0.9880281307524712"/>
          <c:h val="0.73987396639293546"/>
        </c:manualLayout>
      </c:layout>
      <c:lineChart>
        <c:grouping val="standard"/>
        <c:varyColors val="0"/>
        <c:ser>
          <c:idx val="0"/>
          <c:order val="0"/>
          <c:tx>
            <c:strRef>
              <c:f>紅綠燈!$N$3</c:f>
              <c:strCache>
                <c:ptCount val="1"/>
                <c:pt idx="0">
                  <c:v>營業收入淨額</c:v>
                </c:pt>
              </c:strCache>
            </c:strRef>
          </c:tx>
          <c:spPr>
            <a:ln w="31750" cap="rnd" cmpd="sng" algn="ctr">
              <a:solidFill>
                <a:schemeClr val="accent1">
                  <a:shade val="95000"/>
                  <a:satMod val="105000"/>
                </a:schemeClr>
              </a:solidFill>
              <a:round/>
            </a:ln>
            <a:effectLst/>
          </c:spPr>
          <c:marker>
            <c:symbol val="none"/>
          </c:marker>
          <c:val>
            <c:numRef>
              <c:f>紅綠燈!$O$28:$R$28</c:f>
              <c:numCache>
                <c:formatCode>General</c:formatCode>
                <c:ptCount val="4"/>
                <c:pt idx="0">
                  <c:v>151.98514993777363</c:v>
                </c:pt>
                <c:pt idx="1">
                  <c:v>151.98514993777363</c:v>
                </c:pt>
                <c:pt idx="2">
                  <c:v>156.57484151859359</c:v>
                </c:pt>
                <c:pt idx="3">
                  <c:v>149.63670592847484</c:v>
                </c:pt>
              </c:numCache>
            </c:numRef>
          </c:val>
          <c:smooth val="0"/>
        </c:ser>
        <c:ser>
          <c:idx val="1"/>
          <c:order val="1"/>
          <c:spPr>
            <a:ln w="31750" cap="rnd" cmpd="sng" algn="ctr">
              <a:solidFill>
                <a:schemeClr val="accent2">
                  <a:shade val="95000"/>
                  <a:satMod val="105000"/>
                </a:schemeClr>
              </a:solidFill>
              <a:round/>
            </a:ln>
            <a:effectLst/>
          </c:spPr>
          <c:marker>
            <c:symbol val="none"/>
          </c:marker>
          <c:val>
            <c:numRef>
              <c:f>紅綠燈!$S$28:$V$28</c:f>
              <c:numCache>
                <c:formatCode>General</c:formatCode>
                <c:ptCount val="4"/>
                <c:pt idx="0">
                  <c:v>149.99143180513408</c:v>
                </c:pt>
                <c:pt idx="1">
                  <c:v>154.61389097098078</c:v>
                </c:pt>
                <c:pt idx="2">
                  <c:v>176.93579624042954</c:v>
                </c:pt>
                <c:pt idx="3">
                  <c:v>171.60160863432199</c:v>
                </c:pt>
              </c:numCache>
            </c:numRef>
          </c:val>
          <c:smooth val="0"/>
        </c:ser>
        <c:dLbls>
          <c:showLegendKey val="0"/>
          <c:showVal val="0"/>
          <c:showCatName val="0"/>
          <c:showSerName val="0"/>
          <c:showPercent val="0"/>
          <c:showBubbleSize val="0"/>
        </c:dLbls>
        <c:smooth val="0"/>
        <c:axId val="274683264"/>
        <c:axId val="274683824"/>
      </c:lineChart>
      <c:catAx>
        <c:axId val="274683264"/>
        <c:scaling>
          <c:orientation val="minMax"/>
        </c:scaling>
        <c:delete val="1"/>
        <c:axPos val="b"/>
        <c:majorTickMark val="none"/>
        <c:minorTickMark val="none"/>
        <c:tickLblPos val="nextTo"/>
        <c:crossAx val="274683824"/>
        <c:crosses val="autoZero"/>
        <c:auto val="1"/>
        <c:lblAlgn val="ctr"/>
        <c:lblOffset val="100"/>
        <c:noMultiLvlLbl val="0"/>
      </c:catAx>
      <c:valAx>
        <c:axId val="274683824"/>
        <c:scaling>
          <c:orientation val="minMax"/>
        </c:scaling>
        <c:delete val="1"/>
        <c:axPos val="l"/>
        <c:numFmt formatCode="General" sourceLinked="1"/>
        <c:majorTickMark val="none"/>
        <c:minorTickMark val="none"/>
        <c:tickLblPos val="nextTo"/>
        <c:crossAx val="274683264"/>
        <c:crosses val="autoZero"/>
        <c:crossBetween val="between"/>
      </c:valAx>
      <c:spPr>
        <a:noFill/>
        <a:ln>
          <a:noFill/>
        </a:ln>
        <a:effectLst/>
      </c:spPr>
    </c:plotArea>
    <c:plotVisOnly val="1"/>
    <c:dispBlanksAs val="gap"/>
    <c:showDLblsOverMax val="0"/>
  </c:chart>
  <c:spPr>
    <a:solidFill>
      <a:schemeClr val="tx2">
        <a:lumMod val="20000"/>
        <a:lumOff val="80000"/>
      </a:schemeClr>
    </a:solidFill>
    <a:ln w="19050" cap="flat" cmpd="sng" algn="ctr">
      <a:solidFill>
        <a:schemeClr val="tx1"/>
      </a:solidFill>
      <a:round/>
    </a:ln>
    <a:effectLst/>
  </c:spPr>
  <c:txPr>
    <a:bodyPr/>
    <a:lstStyle/>
    <a:p>
      <a:pPr>
        <a:defRPr/>
      </a:pPr>
      <a:endParaRPr lang="zh-TW"/>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394534016581259E-2"/>
          <c:y val="5.4652457235949387E-2"/>
          <c:w val="0.83187613799423621"/>
          <c:h val="0.82214272784867404"/>
        </c:manualLayout>
      </c:layout>
      <c:barChart>
        <c:barDir val="col"/>
        <c:grouping val="clustered"/>
        <c:varyColors val="0"/>
        <c:ser>
          <c:idx val="0"/>
          <c:order val="0"/>
          <c:tx>
            <c:strRef>
              <c:f>PK!$A$26:$B$26</c:f>
              <c:strCache>
                <c:ptCount val="2"/>
                <c:pt idx="0">
                  <c:v>1476</c:v>
                </c:pt>
                <c:pt idx="1">
                  <c:v>來自營運之現金流量</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PK!$C$1:$J$1</c:f>
              <c:numCache>
                <c:formatCode>General</c:formatCode>
                <c:ptCount val="8"/>
                <c:pt idx="0">
                  <c:v>1</c:v>
                </c:pt>
                <c:pt idx="1">
                  <c:v>2</c:v>
                </c:pt>
                <c:pt idx="2">
                  <c:v>3</c:v>
                </c:pt>
                <c:pt idx="3">
                  <c:v>4</c:v>
                </c:pt>
                <c:pt idx="4">
                  <c:v>5</c:v>
                </c:pt>
                <c:pt idx="5">
                  <c:v>6</c:v>
                </c:pt>
                <c:pt idx="6">
                  <c:v>7</c:v>
                </c:pt>
                <c:pt idx="7">
                  <c:v>8</c:v>
                </c:pt>
              </c:numCache>
            </c:numRef>
          </c:cat>
          <c:val>
            <c:numRef>
              <c:f>PK!$C$71:$J$71</c:f>
              <c:numCache>
                <c:formatCode>General</c:formatCode>
                <c:ptCount val="8"/>
                <c:pt idx="0">
                  <c:v>2.31</c:v>
                </c:pt>
                <c:pt idx="1">
                  <c:v>4.95</c:v>
                </c:pt>
                <c:pt idx="2">
                  <c:v>2.25</c:v>
                </c:pt>
                <c:pt idx="3">
                  <c:v>1.02</c:v>
                </c:pt>
                <c:pt idx="4">
                  <c:v>3.44</c:v>
                </c:pt>
                <c:pt idx="5">
                  <c:v>5.46</c:v>
                </c:pt>
                <c:pt idx="6">
                  <c:v>3.04</c:v>
                </c:pt>
                <c:pt idx="7">
                  <c:v>0.03</c:v>
                </c:pt>
              </c:numCache>
            </c:numRef>
          </c:val>
        </c:ser>
        <c:ser>
          <c:idx val="1"/>
          <c:order val="1"/>
          <c:tx>
            <c:strRef>
              <c:f>PK!$A$27:$B$27</c:f>
              <c:strCache>
                <c:ptCount val="2"/>
                <c:pt idx="0">
                  <c:v>1477</c:v>
                </c:pt>
                <c:pt idx="1">
                  <c:v>來自營運之現金流量</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PK!$C$1:$J$1</c:f>
              <c:numCache>
                <c:formatCode>General</c:formatCode>
                <c:ptCount val="8"/>
                <c:pt idx="0">
                  <c:v>1</c:v>
                </c:pt>
                <c:pt idx="1">
                  <c:v>2</c:v>
                </c:pt>
                <c:pt idx="2">
                  <c:v>3</c:v>
                </c:pt>
                <c:pt idx="3">
                  <c:v>4</c:v>
                </c:pt>
                <c:pt idx="4">
                  <c:v>5</c:v>
                </c:pt>
                <c:pt idx="5">
                  <c:v>6</c:v>
                </c:pt>
                <c:pt idx="6">
                  <c:v>7</c:v>
                </c:pt>
                <c:pt idx="7">
                  <c:v>8</c:v>
                </c:pt>
              </c:numCache>
            </c:numRef>
          </c:cat>
          <c:val>
            <c:numRef>
              <c:f>PK!$C$72:$J$72</c:f>
              <c:numCache>
                <c:formatCode>General</c:formatCode>
                <c:ptCount val="8"/>
                <c:pt idx="0">
                  <c:v>-2.5499999999999998</c:v>
                </c:pt>
                <c:pt idx="1">
                  <c:v>6.56</c:v>
                </c:pt>
                <c:pt idx="2">
                  <c:v>0.57999999999999996</c:v>
                </c:pt>
                <c:pt idx="3">
                  <c:v>1.62</c:v>
                </c:pt>
                <c:pt idx="4">
                  <c:v>-1.39</c:v>
                </c:pt>
                <c:pt idx="5">
                  <c:v>6.7</c:v>
                </c:pt>
                <c:pt idx="6">
                  <c:v>1.6</c:v>
                </c:pt>
                <c:pt idx="7">
                  <c:v>1.37</c:v>
                </c:pt>
              </c:numCache>
            </c:numRef>
          </c:val>
        </c:ser>
        <c:ser>
          <c:idx val="2"/>
          <c:order val="2"/>
          <c:tx>
            <c:strRef>
              <c:f>PK!$A$28:$B$28</c:f>
              <c:strCache>
                <c:ptCount val="2"/>
                <c:pt idx="0">
                  <c:v>4426</c:v>
                </c:pt>
                <c:pt idx="1">
                  <c:v>來自營運之現金流量</c:v>
                </c:pt>
              </c:strCache>
            </c:strRef>
          </c:tx>
          <c:spPr>
            <a:solidFill>
              <a:srgbClr val="FF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PK!$C$1:$J$1</c:f>
              <c:numCache>
                <c:formatCode>General</c:formatCode>
                <c:ptCount val="8"/>
                <c:pt idx="0">
                  <c:v>1</c:v>
                </c:pt>
                <c:pt idx="1">
                  <c:v>2</c:v>
                </c:pt>
                <c:pt idx="2">
                  <c:v>3</c:v>
                </c:pt>
                <c:pt idx="3">
                  <c:v>4</c:v>
                </c:pt>
                <c:pt idx="4">
                  <c:v>5</c:v>
                </c:pt>
                <c:pt idx="5">
                  <c:v>6</c:v>
                </c:pt>
                <c:pt idx="6">
                  <c:v>7</c:v>
                </c:pt>
                <c:pt idx="7">
                  <c:v>8</c:v>
                </c:pt>
              </c:numCache>
            </c:numRef>
          </c:cat>
          <c:val>
            <c:numRef>
              <c:f>PK!$C$73:$J$73</c:f>
              <c:numCache>
                <c:formatCode>General</c:formatCode>
                <c:ptCount val="8"/>
                <c:pt idx="0">
                  <c:v>-0.3</c:v>
                </c:pt>
                <c:pt idx="1">
                  <c:v>1.54</c:v>
                </c:pt>
                <c:pt idx="2">
                  <c:v>1.41</c:v>
                </c:pt>
                <c:pt idx="3">
                  <c:v>1.5</c:v>
                </c:pt>
                <c:pt idx="4">
                  <c:v>0.39</c:v>
                </c:pt>
                <c:pt idx="5">
                  <c:v>2.7</c:v>
                </c:pt>
                <c:pt idx="6">
                  <c:v>1.66</c:v>
                </c:pt>
                <c:pt idx="7">
                  <c:v>1.31</c:v>
                </c:pt>
              </c:numCache>
            </c:numRef>
          </c:val>
        </c:ser>
        <c:dLbls>
          <c:showLegendKey val="0"/>
          <c:showVal val="0"/>
          <c:showCatName val="0"/>
          <c:showSerName val="0"/>
          <c:showPercent val="0"/>
          <c:showBubbleSize val="0"/>
        </c:dLbls>
        <c:gapWidth val="138"/>
        <c:overlap val="38"/>
        <c:axId val="275972448"/>
        <c:axId val="275973008"/>
      </c:barChart>
      <c:lineChart>
        <c:grouping val="standard"/>
        <c:varyColors val="0"/>
        <c:ser>
          <c:idx val="3"/>
          <c:order val="3"/>
          <c:tx>
            <c:strRef>
              <c:f>PK!$A$56:$B$56</c:f>
              <c:strCache>
                <c:ptCount val="2"/>
                <c:pt idx="0">
                  <c:v>1476</c:v>
                </c:pt>
                <c:pt idx="1">
                  <c:v> 負債比 </c:v>
                </c:pt>
              </c:strCache>
            </c:strRef>
          </c:tx>
          <c:spPr>
            <a:ln>
              <a:solidFill>
                <a:srgbClr val="33CCFF"/>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PK!$C$56:$J$56</c:f>
              <c:numCache>
                <c:formatCode>0%</c:formatCode>
                <c:ptCount val="8"/>
                <c:pt idx="0">
                  <c:v>0.41357182963022376</c:v>
                </c:pt>
                <c:pt idx="1">
                  <c:v>0.35302088315000796</c:v>
                </c:pt>
                <c:pt idx="2">
                  <c:v>0.34141610087293889</c:v>
                </c:pt>
                <c:pt idx="3">
                  <c:v>0.4583780688569179</c:v>
                </c:pt>
                <c:pt idx="4">
                  <c:v>0.39011937293254711</c:v>
                </c:pt>
                <c:pt idx="5">
                  <c:v>0.36495812395309885</c:v>
                </c:pt>
                <c:pt idx="6">
                  <c:v>0.35797000569512116</c:v>
                </c:pt>
                <c:pt idx="7">
                  <c:v>0.46608211386930504</c:v>
                </c:pt>
              </c:numCache>
            </c:numRef>
          </c:val>
          <c:smooth val="1"/>
        </c:ser>
        <c:ser>
          <c:idx val="4"/>
          <c:order val="4"/>
          <c:tx>
            <c:strRef>
              <c:f>PK!$A$57:$B$57</c:f>
              <c:strCache>
                <c:ptCount val="2"/>
                <c:pt idx="0">
                  <c:v>1477</c:v>
                </c:pt>
                <c:pt idx="1">
                  <c:v> 負債比 </c:v>
                </c:pt>
              </c:strCache>
            </c:strRef>
          </c:tx>
          <c:spPr>
            <a:ln>
              <a:solidFill>
                <a:srgbClr val="FF00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PK!$C$57:$J$57</c:f>
              <c:numCache>
                <c:formatCode>0%</c:formatCode>
                <c:ptCount val="8"/>
                <c:pt idx="0">
                  <c:v>0.40019309678976589</c:v>
                </c:pt>
                <c:pt idx="1">
                  <c:v>0.47201584943041108</c:v>
                </c:pt>
                <c:pt idx="2">
                  <c:v>0.45168539325842699</c:v>
                </c:pt>
                <c:pt idx="3">
                  <c:v>0.60275974025974022</c:v>
                </c:pt>
                <c:pt idx="4">
                  <c:v>0.36147186147186144</c:v>
                </c:pt>
                <c:pt idx="5">
                  <c:v>0.31440720360180091</c:v>
                </c:pt>
                <c:pt idx="6">
                  <c:v>0.31404958677685951</c:v>
                </c:pt>
                <c:pt idx="7">
                  <c:v>0.45575562250402857</c:v>
                </c:pt>
              </c:numCache>
            </c:numRef>
          </c:val>
          <c:smooth val="1"/>
        </c:ser>
        <c:ser>
          <c:idx val="5"/>
          <c:order val="5"/>
          <c:tx>
            <c:strRef>
              <c:f>PK!$A$58:$B$58</c:f>
              <c:strCache>
                <c:ptCount val="2"/>
                <c:pt idx="0">
                  <c:v>4426</c:v>
                </c:pt>
                <c:pt idx="1">
                  <c:v> 負債比 </c:v>
                </c:pt>
              </c:strCache>
            </c:strRef>
          </c:tx>
          <c:spPr>
            <a:ln>
              <a:solidFill>
                <a:srgbClr val="FFFF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PK!$C$58:$J$58</c:f>
              <c:numCache>
                <c:formatCode>0%</c:formatCode>
                <c:ptCount val="8"/>
                <c:pt idx="0">
                  <c:v>0.39339019189765456</c:v>
                </c:pt>
                <c:pt idx="1">
                  <c:v>0.35256064690026956</c:v>
                </c:pt>
                <c:pt idx="2">
                  <c:v>0.33208955223880599</c:v>
                </c:pt>
                <c:pt idx="3">
                  <c:v>0.33546325878594252</c:v>
                </c:pt>
                <c:pt idx="4">
                  <c:v>0.34210526315789475</c:v>
                </c:pt>
                <c:pt idx="5">
                  <c:v>0.35060838215412349</c:v>
                </c:pt>
                <c:pt idx="6">
                  <c:v>0.33669609079445145</c:v>
                </c:pt>
                <c:pt idx="7">
                  <c:v>0.36166158536585363</c:v>
                </c:pt>
              </c:numCache>
            </c:numRef>
          </c:val>
          <c:smooth val="1"/>
        </c:ser>
        <c:dLbls>
          <c:showLegendKey val="0"/>
          <c:showVal val="0"/>
          <c:showCatName val="0"/>
          <c:showSerName val="0"/>
          <c:showPercent val="0"/>
          <c:showBubbleSize val="0"/>
        </c:dLbls>
        <c:marker val="1"/>
        <c:smooth val="0"/>
        <c:axId val="275974128"/>
        <c:axId val="275973568"/>
      </c:lineChart>
      <c:dateAx>
        <c:axId val="275972448"/>
        <c:scaling>
          <c:orientation val="minMax"/>
        </c:scaling>
        <c:delete val="1"/>
        <c:axPos val="b"/>
        <c:numFmt formatCode="General" sourceLinked="1"/>
        <c:majorTickMark val="none"/>
        <c:minorTickMark val="none"/>
        <c:tickLblPos val="none"/>
        <c:crossAx val="275973008"/>
        <c:crosses val="autoZero"/>
        <c:auto val="0"/>
        <c:lblOffset val="100"/>
        <c:baseTimeUnit val="days"/>
      </c:dateAx>
      <c:valAx>
        <c:axId val="275973008"/>
        <c:scaling>
          <c:orientation val="minMax"/>
        </c:scaling>
        <c:delete val="0"/>
        <c:axPos val="l"/>
        <c:numFmt formatCode="#,##0_);[Red]\(#,##0\)" sourceLinked="0"/>
        <c:majorTickMark val="none"/>
        <c:minorTickMark val="none"/>
        <c:tickLblPos val="nextTo"/>
        <c:spPr>
          <a:ln>
            <a:noFill/>
          </a:ln>
        </c:spPr>
        <c:txPr>
          <a:bodyPr/>
          <a:lstStyle/>
          <a:p>
            <a:pPr>
              <a:defRPr sz="1200" b="1">
                <a:solidFill>
                  <a:schemeClr val="bg1"/>
                </a:solidFill>
              </a:defRPr>
            </a:pPr>
            <a:endParaRPr lang="zh-TW"/>
          </a:p>
        </c:txPr>
        <c:crossAx val="275972448"/>
        <c:crosses val="autoZero"/>
        <c:crossBetween val="between"/>
      </c:valAx>
      <c:valAx>
        <c:axId val="275973568"/>
        <c:scaling>
          <c:orientation val="minMax"/>
        </c:scaling>
        <c:delete val="0"/>
        <c:axPos val="r"/>
        <c:numFmt formatCode="0%" sourceLinked="0"/>
        <c:majorTickMark val="out"/>
        <c:minorTickMark val="none"/>
        <c:tickLblPos val="nextTo"/>
        <c:txPr>
          <a:bodyPr/>
          <a:lstStyle/>
          <a:p>
            <a:pPr>
              <a:defRPr sz="1200" b="1"/>
            </a:pPr>
            <a:endParaRPr lang="zh-TW"/>
          </a:p>
        </c:txPr>
        <c:crossAx val="275974128"/>
        <c:crosses val="max"/>
        <c:crossBetween val="between"/>
      </c:valAx>
      <c:dateAx>
        <c:axId val="275974128"/>
        <c:scaling>
          <c:orientation val="minMax"/>
        </c:scaling>
        <c:delete val="1"/>
        <c:axPos val="b"/>
        <c:numFmt formatCode="General" sourceLinked="1"/>
        <c:majorTickMark val="out"/>
        <c:minorTickMark val="none"/>
        <c:tickLblPos val="nextTo"/>
        <c:crossAx val="275973568"/>
        <c:crosses val="autoZero"/>
        <c:auto val="0"/>
        <c:lblOffset val="100"/>
        <c:baseTimeUnit val="days"/>
      </c:dateAx>
      <c:spPr>
        <a:noFill/>
      </c:spPr>
    </c:plotArea>
    <c:plotVisOnly val="1"/>
    <c:dispBlanksAs val="gap"/>
    <c:showDLblsOverMax val="0"/>
  </c:chart>
  <c:spPr>
    <a:noFill/>
    <a:ln w="19050"/>
  </c:spPr>
  <c:txPr>
    <a:bodyPr/>
    <a:lstStyle/>
    <a:p>
      <a:pPr>
        <a:defRPr>
          <a:solidFill>
            <a:schemeClr val="bg1"/>
          </a:solidFill>
        </a:defRPr>
      </a:pPr>
      <a:endParaRPr lang="zh-TW"/>
    </a:p>
  </c:txPr>
  <c:printSettings>
    <c:headerFooter/>
    <c:pageMargins b="0.7500000000000121" l="0.70000000000000062" r="0.70000000000000062" t="0.750000000000012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36598370232052E-2"/>
          <c:y val="7.6339457567804025E-2"/>
          <c:w val="0.91226332455746539"/>
          <c:h val="0.76162697844589311"/>
        </c:manualLayout>
      </c:layout>
      <c:lineChart>
        <c:grouping val="standard"/>
        <c:varyColors val="0"/>
        <c:ser>
          <c:idx val="0"/>
          <c:order val="0"/>
          <c:tx>
            <c:strRef>
              <c:f>PK!$A$50:$B$50</c:f>
              <c:strCache>
                <c:ptCount val="2"/>
                <c:pt idx="0">
                  <c:v>1476</c:v>
                </c:pt>
                <c:pt idx="1">
                  <c:v> 應收週轉天數</c:v>
                </c:pt>
              </c:strCache>
            </c:strRef>
          </c:tx>
          <c:spPr>
            <a:ln>
              <a:solidFill>
                <a:srgbClr val="00B0F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PK!$C$50:$J$50</c:f>
              <c:numCache>
                <c:formatCode>_(* #,##0_);_(* \(#,##0\);_(* "-"??_);_(@_)</c:formatCode>
                <c:ptCount val="8"/>
                <c:pt idx="0">
                  <c:v>37.39587207140201</c:v>
                </c:pt>
                <c:pt idx="1">
                  <c:v>37.39587207140201</c:v>
                </c:pt>
                <c:pt idx="2">
                  <c:v>44.993300580616342</c:v>
                </c:pt>
                <c:pt idx="3">
                  <c:v>43.449268317642243</c:v>
                </c:pt>
                <c:pt idx="4">
                  <c:v>41.700785501140949</c:v>
                </c:pt>
                <c:pt idx="5">
                  <c:v>43.494097042034255</c:v>
                </c:pt>
                <c:pt idx="6">
                  <c:v>47.189656047077925</c:v>
                </c:pt>
                <c:pt idx="7">
                  <c:v>40.134272083718066</c:v>
                </c:pt>
              </c:numCache>
            </c:numRef>
          </c:val>
          <c:smooth val="1"/>
        </c:ser>
        <c:ser>
          <c:idx val="1"/>
          <c:order val="1"/>
          <c:tx>
            <c:strRef>
              <c:f>PK!$A$51:$B$51</c:f>
              <c:strCache>
                <c:ptCount val="2"/>
                <c:pt idx="0">
                  <c:v>1477</c:v>
                </c:pt>
                <c:pt idx="1">
                  <c:v> 應收週轉天數</c:v>
                </c:pt>
              </c:strCache>
            </c:strRef>
          </c:tx>
          <c:spPr>
            <a:ln>
              <a:solidFill>
                <a:srgbClr val="FF00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PK!$C$51:$J$51</c:f>
              <c:numCache>
                <c:formatCode>_(* #,##0_);_(* \(#,##0\);_(* "-"??_);_(@_)</c:formatCode>
                <c:ptCount val="8"/>
                <c:pt idx="0">
                  <c:v>6.16354383529956</c:v>
                </c:pt>
                <c:pt idx="1">
                  <c:v>6.16354383529956</c:v>
                </c:pt>
                <c:pt idx="2">
                  <c:v>6.5291099175139076</c:v>
                </c:pt>
                <c:pt idx="3">
                  <c:v>8.6745120551090693</c:v>
                </c:pt>
                <c:pt idx="4">
                  <c:v>14.771400369623656</c:v>
                </c:pt>
                <c:pt idx="5">
                  <c:v>24.397350530825108</c:v>
                </c:pt>
                <c:pt idx="6">
                  <c:v>17.999070390868212</c:v>
                </c:pt>
                <c:pt idx="7">
                  <c:v>15.617964824120603</c:v>
                </c:pt>
              </c:numCache>
            </c:numRef>
          </c:val>
          <c:smooth val="1"/>
        </c:ser>
        <c:ser>
          <c:idx val="2"/>
          <c:order val="2"/>
          <c:tx>
            <c:strRef>
              <c:f>PK!$A$52:$B$52</c:f>
              <c:strCache>
                <c:ptCount val="2"/>
                <c:pt idx="0">
                  <c:v>4426</c:v>
                </c:pt>
                <c:pt idx="1">
                  <c:v> 應收週轉天數</c:v>
                </c:pt>
              </c:strCache>
            </c:strRef>
          </c:tx>
          <c:spPr>
            <a:ln>
              <a:solidFill>
                <a:srgbClr val="FFFF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PK!$C$52:$J$52</c:f>
              <c:numCache>
                <c:formatCode>_(* #,##0_);_(* \(#,##0\);_(* "-"??_);_(@_)</c:formatCode>
                <c:ptCount val="8"/>
                <c:pt idx="0">
                  <c:v>59.167867435158506</c:v>
                </c:pt>
                <c:pt idx="1">
                  <c:v>59.167867435158506</c:v>
                </c:pt>
                <c:pt idx="2">
                  <c:v>68.579192546583855</c:v>
                </c:pt>
                <c:pt idx="3">
                  <c:v>72.158687943262407</c:v>
                </c:pt>
                <c:pt idx="4">
                  <c:v>57.184973045822105</c:v>
                </c:pt>
                <c:pt idx="5">
                  <c:v>62.297839506172842</c:v>
                </c:pt>
                <c:pt idx="6">
                  <c:v>58.73987854251012</c:v>
                </c:pt>
                <c:pt idx="7">
                  <c:v>61.567326254826256</c:v>
                </c:pt>
              </c:numCache>
            </c:numRef>
          </c:val>
          <c:smooth val="1"/>
        </c:ser>
        <c:dLbls>
          <c:showLegendKey val="0"/>
          <c:showVal val="0"/>
          <c:showCatName val="0"/>
          <c:showSerName val="0"/>
          <c:showPercent val="0"/>
          <c:showBubbleSize val="0"/>
        </c:dLbls>
        <c:smooth val="0"/>
        <c:axId val="275978048"/>
        <c:axId val="275978608"/>
      </c:lineChart>
      <c:catAx>
        <c:axId val="275978048"/>
        <c:scaling>
          <c:orientation val="minMax"/>
        </c:scaling>
        <c:delete val="1"/>
        <c:axPos val="b"/>
        <c:numFmt formatCode="General" sourceLinked="1"/>
        <c:majorTickMark val="none"/>
        <c:minorTickMark val="none"/>
        <c:tickLblPos val="none"/>
        <c:crossAx val="275978608"/>
        <c:crosses val="autoZero"/>
        <c:auto val="1"/>
        <c:lblAlgn val="ctr"/>
        <c:lblOffset val="100"/>
        <c:noMultiLvlLbl val="0"/>
      </c:catAx>
      <c:valAx>
        <c:axId val="275978608"/>
        <c:scaling>
          <c:orientation val="minMax"/>
          <c:max val="75.766622340425528"/>
          <c:min val="5.8553666435345813"/>
        </c:scaling>
        <c:delete val="0"/>
        <c:axPos val="l"/>
        <c:numFmt formatCode="#,##0_);[Red]\(#,##0\)" sourceLinked="0"/>
        <c:majorTickMark val="none"/>
        <c:minorTickMark val="none"/>
        <c:tickLblPos val="nextTo"/>
        <c:spPr>
          <a:ln>
            <a:noFill/>
            <a:prstDash val="sysDash"/>
          </a:ln>
        </c:spPr>
        <c:txPr>
          <a:bodyPr/>
          <a:lstStyle/>
          <a:p>
            <a:pPr>
              <a:defRPr sz="1200" b="1">
                <a:solidFill>
                  <a:schemeClr val="bg1"/>
                </a:solidFill>
              </a:defRPr>
            </a:pPr>
            <a:endParaRPr lang="zh-TW"/>
          </a:p>
        </c:txPr>
        <c:crossAx val="275978048"/>
        <c:crosses val="autoZero"/>
        <c:crossBetween val="between"/>
      </c:valAx>
      <c:spPr>
        <a:noFill/>
        <a:ln>
          <a:noFill/>
        </a:ln>
      </c:spPr>
    </c:plotArea>
    <c:plotVisOnly val="1"/>
    <c:dispBlanksAs val="gap"/>
    <c:showDLblsOverMax val="0"/>
  </c:chart>
  <c:spPr>
    <a:noFill/>
    <a:ln w="19050"/>
  </c:spPr>
  <c:txPr>
    <a:bodyPr/>
    <a:lstStyle/>
    <a:p>
      <a:pPr>
        <a:defRPr>
          <a:solidFill>
            <a:schemeClr val="bg1"/>
          </a:solidFill>
        </a:defRPr>
      </a:pPr>
      <a:endParaRPr lang="zh-TW"/>
    </a:p>
  </c:txPr>
  <c:printSettings>
    <c:headerFooter/>
    <c:pageMargins b="0.75000000000001166" l="0.70000000000000062" r="0.70000000000000062" t="0.750000000000011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36598370232136E-2"/>
          <c:y val="7.6339457567804025E-2"/>
          <c:w val="0.91226344792658953"/>
          <c:h val="0.76162697844589355"/>
        </c:manualLayout>
      </c:layout>
      <c:lineChart>
        <c:grouping val="standard"/>
        <c:varyColors val="0"/>
        <c:ser>
          <c:idx val="0"/>
          <c:order val="0"/>
          <c:tx>
            <c:strRef>
              <c:f>PK!$A$53:$B$53</c:f>
              <c:strCache>
                <c:ptCount val="2"/>
                <c:pt idx="0">
                  <c:v>1476</c:v>
                </c:pt>
                <c:pt idx="1">
                  <c:v> 存貨 週轉天數</c:v>
                </c:pt>
              </c:strCache>
            </c:strRef>
          </c:tx>
          <c:spPr>
            <a:ln>
              <a:solidFill>
                <a:srgbClr val="00B0F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PK!$C$53:$J$53</c:f>
              <c:numCache>
                <c:formatCode>_(* #,##0_);_(* \(#,##0\);_(* "-"??_);_(@_)</c:formatCode>
                <c:ptCount val="8"/>
                <c:pt idx="0">
                  <c:v>75.320782364933734</c:v>
                </c:pt>
                <c:pt idx="1">
                  <c:v>75.320782364933734</c:v>
                </c:pt>
                <c:pt idx="2">
                  <c:v>91.361280487804876</c:v>
                </c:pt>
                <c:pt idx="3">
                  <c:v>83.131140829694317</c:v>
                </c:pt>
                <c:pt idx="4">
                  <c:v>72.640086206896555</c:v>
                </c:pt>
                <c:pt idx="5">
                  <c:v>70.717117815406624</c:v>
                </c:pt>
                <c:pt idx="6">
                  <c:v>87.224264705882348</c:v>
                </c:pt>
                <c:pt idx="7">
                  <c:v>76.220244449188741</c:v>
                </c:pt>
              </c:numCache>
            </c:numRef>
          </c:val>
          <c:smooth val="1"/>
        </c:ser>
        <c:dLbls>
          <c:showLegendKey val="0"/>
          <c:showVal val="0"/>
          <c:showCatName val="0"/>
          <c:showSerName val="0"/>
          <c:showPercent val="0"/>
          <c:showBubbleSize val="0"/>
        </c:dLbls>
        <c:marker val="1"/>
        <c:smooth val="0"/>
        <c:axId val="275982528"/>
        <c:axId val="275983088"/>
      </c:lineChart>
      <c:lineChart>
        <c:grouping val="standard"/>
        <c:varyColors val="0"/>
        <c:ser>
          <c:idx val="1"/>
          <c:order val="1"/>
          <c:tx>
            <c:strRef>
              <c:f>PK!$A$54:$B$54</c:f>
              <c:strCache>
                <c:ptCount val="2"/>
                <c:pt idx="0">
                  <c:v>1477</c:v>
                </c:pt>
                <c:pt idx="1">
                  <c:v> 存貨 週轉天數</c:v>
                </c:pt>
              </c:strCache>
            </c:strRef>
          </c:tx>
          <c:spPr>
            <a:ln>
              <a:solidFill>
                <a:srgbClr val="FF0000"/>
              </a:solidFill>
            </a:ln>
          </c:spPr>
          <c:marker>
            <c:symbol val="none"/>
          </c:marker>
          <c:val>
            <c:numRef>
              <c:f>PK!$C$54:$J$54</c:f>
              <c:numCache>
                <c:formatCode>_(* #,##0_);_(* \(#,##0\);_(* "-"??_);_(@_)</c:formatCode>
                <c:ptCount val="8"/>
                <c:pt idx="0">
                  <c:v>69.06259013556388</c:v>
                </c:pt>
                <c:pt idx="1">
                  <c:v>69.06259013556388</c:v>
                </c:pt>
                <c:pt idx="2">
                  <c:v>56.610078401618615</c:v>
                </c:pt>
                <c:pt idx="3">
                  <c:v>69.741264435889846</c:v>
                </c:pt>
                <c:pt idx="4">
                  <c:v>58.081288182009693</c:v>
                </c:pt>
                <c:pt idx="5">
                  <c:v>60.279528478057891</c:v>
                </c:pt>
                <c:pt idx="6">
                  <c:v>51.225641773628936</c:v>
                </c:pt>
                <c:pt idx="7">
                  <c:v>62.551544725956568</c:v>
                </c:pt>
              </c:numCache>
            </c:numRef>
          </c:val>
          <c:smooth val="1"/>
        </c:ser>
        <c:ser>
          <c:idx val="2"/>
          <c:order val="2"/>
          <c:tx>
            <c:strRef>
              <c:f>PK!$A$55:$B$55</c:f>
              <c:strCache>
                <c:ptCount val="2"/>
                <c:pt idx="0">
                  <c:v>4426</c:v>
                </c:pt>
                <c:pt idx="1">
                  <c:v> 存貨 週轉天數</c:v>
                </c:pt>
              </c:strCache>
            </c:strRef>
          </c:tx>
          <c:spPr>
            <a:ln>
              <a:solidFill>
                <a:srgbClr val="FFFF00"/>
              </a:solidFill>
            </a:ln>
          </c:spPr>
          <c:marker>
            <c:symbol val="none"/>
          </c:marker>
          <c:val>
            <c:numRef>
              <c:f>PK!$C$55:$J$55</c:f>
              <c:numCache>
                <c:formatCode>_(* #,##0_);_(* \(#,##0\);_(* "-"??_);_(@_)</c:formatCode>
                <c:ptCount val="8"/>
                <c:pt idx="0">
                  <c:v>94.593211206896541</c:v>
                </c:pt>
                <c:pt idx="1">
                  <c:v>94.593211206896541</c:v>
                </c:pt>
                <c:pt idx="2">
                  <c:v>92.336309523809518</c:v>
                </c:pt>
                <c:pt idx="3">
                  <c:v>98.89527027027026</c:v>
                </c:pt>
                <c:pt idx="4">
                  <c:v>75.651709401709411</c:v>
                </c:pt>
                <c:pt idx="5">
                  <c:v>75.182065217391298</c:v>
                </c:pt>
                <c:pt idx="6">
                  <c:v>71.982071713147405</c:v>
                </c:pt>
                <c:pt idx="7">
                  <c:v>74.930288461538467</c:v>
                </c:pt>
              </c:numCache>
            </c:numRef>
          </c:val>
          <c:smooth val="1"/>
        </c:ser>
        <c:dLbls>
          <c:showLegendKey val="0"/>
          <c:showVal val="0"/>
          <c:showCatName val="0"/>
          <c:showSerName val="0"/>
          <c:showPercent val="0"/>
          <c:showBubbleSize val="0"/>
        </c:dLbls>
        <c:marker val="1"/>
        <c:smooth val="0"/>
        <c:axId val="275984208"/>
        <c:axId val="275983648"/>
      </c:lineChart>
      <c:catAx>
        <c:axId val="275982528"/>
        <c:scaling>
          <c:orientation val="minMax"/>
        </c:scaling>
        <c:delete val="1"/>
        <c:axPos val="b"/>
        <c:numFmt formatCode="General" sourceLinked="1"/>
        <c:majorTickMark val="none"/>
        <c:minorTickMark val="none"/>
        <c:tickLblPos val="none"/>
        <c:crossAx val="275983088"/>
        <c:crosses val="autoZero"/>
        <c:auto val="1"/>
        <c:lblAlgn val="ctr"/>
        <c:lblOffset val="100"/>
        <c:noMultiLvlLbl val="0"/>
      </c:catAx>
      <c:valAx>
        <c:axId val="275983088"/>
        <c:scaling>
          <c:orientation val="minMax"/>
          <c:max val="103.84003378378378"/>
          <c:min val="0"/>
        </c:scaling>
        <c:delete val="0"/>
        <c:axPos val="l"/>
        <c:numFmt formatCode="#,##0_);[Red]\(#,##0\)" sourceLinked="0"/>
        <c:majorTickMark val="none"/>
        <c:minorTickMark val="none"/>
        <c:tickLblPos val="nextTo"/>
        <c:spPr>
          <a:ln>
            <a:noFill/>
            <a:prstDash val="sysDash"/>
          </a:ln>
        </c:spPr>
        <c:txPr>
          <a:bodyPr/>
          <a:lstStyle/>
          <a:p>
            <a:pPr>
              <a:defRPr sz="1200" b="1">
                <a:solidFill>
                  <a:schemeClr val="bg1"/>
                </a:solidFill>
              </a:defRPr>
            </a:pPr>
            <a:endParaRPr lang="zh-TW"/>
          </a:p>
        </c:txPr>
        <c:crossAx val="275982528"/>
        <c:crosses val="autoZero"/>
        <c:crossBetween val="between"/>
      </c:valAx>
      <c:valAx>
        <c:axId val="275983648"/>
        <c:scaling>
          <c:orientation val="minMax"/>
          <c:max val="207.28196625636673"/>
          <c:min val="42.642944634982847"/>
        </c:scaling>
        <c:delete val="1"/>
        <c:axPos val="r"/>
        <c:numFmt formatCode="_(* #,##0_);_(* \(#,##0\);_(* &quot;-&quot;??_);_(@_)" sourceLinked="1"/>
        <c:majorTickMark val="in"/>
        <c:minorTickMark val="none"/>
        <c:tickLblPos val="none"/>
        <c:crossAx val="275984208"/>
        <c:crosses val="max"/>
        <c:crossBetween val="between"/>
      </c:valAx>
      <c:catAx>
        <c:axId val="275984208"/>
        <c:scaling>
          <c:orientation val="minMax"/>
        </c:scaling>
        <c:delete val="1"/>
        <c:axPos val="b"/>
        <c:majorTickMark val="out"/>
        <c:minorTickMark val="none"/>
        <c:tickLblPos val="none"/>
        <c:crossAx val="275983648"/>
        <c:crosses val="autoZero"/>
        <c:auto val="1"/>
        <c:lblAlgn val="ctr"/>
        <c:lblOffset val="100"/>
        <c:noMultiLvlLbl val="0"/>
      </c:catAx>
      <c:spPr>
        <a:noFill/>
        <a:ln>
          <a:noFill/>
        </a:ln>
      </c:spPr>
    </c:plotArea>
    <c:plotVisOnly val="1"/>
    <c:dispBlanksAs val="gap"/>
    <c:showDLblsOverMax val="0"/>
  </c:chart>
  <c:spPr>
    <a:noFill/>
    <a:ln w="19050"/>
  </c:spPr>
  <c:printSettings>
    <c:headerFooter/>
    <c:pageMargins b="0.75000000000001188" l="0.70000000000000062" r="0.70000000000000062" t="0.750000000000011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672283870191789E-2"/>
          <c:y val="7.6339369684488997E-2"/>
          <c:w val="0.81557801037599265"/>
          <c:h val="0.761626978445894"/>
        </c:manualLayout>
      </c:layout>
      <c:barChart>
        <c:barDir val="col"/>
        <c:grouping val="clustered"/>
        <c:varyColors val="0"/>
        <c:ser>
          <c:idx val="0"/>
          <c:order val="0"/>
          <c:tx>
            <c:strRef>
              <c:f>PK!$A$11:$B$11</c:f>
              <c:strCache>
                <c:ptCount val="2"/>
                <c:pt idx="0">
                  <c:v>1476</c:v>
                </c:pt>
                <c:pt idx="1">
                  <c:v>每股盈餘 (元)</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PK!$C$1:$J$1</c:f>
              <c:numCache>
                <c:formatCode>General</c:formatCode>
                <c:ptCount val="8"/>
                <c:pt idx="0">
                  <c:v>1</c:v>
                </c:pt>
                <c:pt idx="1">
                  <c:v>2</c:v>
                </c:pt>
                <c:pt idx="2">
                  <c:v>3</c:v>
                </c:pt>
                <c:pt idx="3">
                  <c:v>4</c:v>
                </c:pt>
                <c:pt idx="4">
                  <c:v>5</c:v>
                </c:pt>
                <c:pt idx="5">
                  <c:v>6</c:v>
                </c:pt>
                <c:pt idx="6">
                  <c:v>7</c:v>
                </c:pt>
                <c:pt idx="7">
                  <c:v>8</c:v>
                </c:pt>
              </c:numCache>
            </c:numRef>
          </c:cat>
          <c:val>
            <c:numRef>
              <c:f>PK!$C$11:$J$11</c:f>
              <c:numCache>
                <c:formatCode>General</c:formatCode>
                <c:ptCount val="8"/>
                <c:pt idx="0">
                  <c:v>2.88</c:v>
                </c:pt>
                <c:pt idx="1">
                  <c:v>3.14</c:v>
                </c:pt>
                <c:pt idx="2">
                  <c:v>2.62</c:v>
                </c:pt>
                <c:pt idx="3">
                  <c:v>2.2200000000000002</c:v>
                </c:pt>
                <c:pt idx="4">
                  <c:v>3.32</c:v>
                </c:pt>
                <c:pt idx="5">
                  <c:v>3.53</c:v>
                </c:pt>
                <c:pt idx="6">
                  <c:v>2.68</c:v>
                </c:pt>
                <c:pt idx="7">
                  <c:v>3.8</c:v>
                </c:pt>
              </c:numCache>
            </c:numRef>
          </c:val>
        </c:ser>
        <c:ser>
          <c:idx val="1"/>
          <c:order val="1"/>
          <c:tx>
            <c:strRef>
              <c:f>PK!$A$12:$B$12</c:f>
              <c:strCache>
                <c:ptCount val="2"/>
                <c:pt idx="0">
                  <c:v>1477</c:v>
                </c:pt>
                <c:pt idx="1">
                  <c:v>每股盈餘 (元)</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PK!$C$1:$J$1</c:f>
              <c:numCache>
                <c:formatCode>General</c:formatCode>
                <c:ptCount val="8"/>
                <c:pt idx="0">
                  <c:v>1</c:v>
                </c:pt>
                <c:pt idx="1">
                  <c:v>2</c:v>
                </c:pt>
                <c:pt idx="2">
                  <c:v>3</c:v>
                </c:pt>
                <c:pt idx="3">
                  <c:v>4</c:v>
                </c:pt>
                <c:pt idx="4">
                  <c:v>5</c:v>
                </c:pt>
                <c:pt idx="5">
                  <c:v>6</c:v>
                </c:pt>
                <c:pt idx="6">
                  <c:v>7</c:v>
                </c:pt>
                <c:pt idx="7">
                  <c:v>8</c:v>
                </c:pt>
              </c:numCache>
            </c:numRef>
          </c:cat>
          <c:val>
            <c:numRef>
              <c:f>PK!$C$12:$J$12</c:f>
              <c:numCache>
                <c:formatCode>General</c:formatCode>
                <c:ptCount val="8"/>
                <c:pt idx="0">
                  <c:v>2.19</c:v>
                </c:pt>
                <c:pt idx="1">
                  <c:v>1.76</c:v>
                </c:pt>
                <c:pt idx="2">
                  <c:v>2.89</c:v>
                </c:pt>
                <c:pt idx="3">
                  <c:v>2.06</c:v>
                </c:pt>
                <c:pt idx="4">
                  <c:v>2.56</c:v>
                </c:pt>
                <c:pt idx="5">
                  <c:v>2.29</c:v>
                </c:pt>
                <c:pt idx="6">
                  <c:v>3.35</c:v>
                </c:pt>
                <c:pt idx="7">
                  <c:v>2.1800000000000002</c:v>
                </c:pt>
              </c:numCache>
            </c:numRef>
          </c:val>
        </c:ser>
        <c:ser>
          <c:idx val="2"/>
          <c:order val="2"/>
          <c:tx>
            <c:strRef>
              <c:f>PK!$A$13:$B$13</c:f>
              <c:strCache>
                <c:ptCount val="2"/>
                <c:pt idx="0">
                  <c:v>4426</c:v>
                </c:pt>
                <c:pt idx="1">
                  <c:v>每股盈餘 (元)</c:v>
                </c:pt>
              </c:strCache>
            </c:strRef>
          </c:tx>
          <c:spPr>
            <a:solidFill>
              <a:srgbClr val="FF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PK!$C$1:$J$1</c:f>
              <c:numCache>
                <c:formatCode>General</c:formatCode>
                <c:ptCount val="8"/>
                <c:pt idx="0">
                  <c:v>1</c:v>
                </c:pt>
                <c:pt idx="1">
                  <c:v>2</c:v>
                </c:pt>
                <c:pt idx="2">
                  <c:v>3</c:v>
                </c:pt>
                <c:pt idx="3">
                  <c:v>4</c:v>
                </c:pt>
                <c:pt idx="4">
                  <c:v>5</c:v>
                </c:pt>
                <c:pt idx="5">
                  <c:v>6</c:v>
                </c:pt>
                <c:pt idx="6">
                  <c:v>7</c:v>
                </c:pt>
                <c:pt idx="7">
                  <c:v>8</c:v>
                </c:pt>
              </c:numCache>
            </c:numRef>
          </c:cat>
          <c:val>
            <c:numRef>
              <c:f>PK!$C$13:$J$13</c:f>
              <c:numCache>
                <c:formatCode>General</c:formatCode>
                <c:ptCount val="8"/>
                <c:pt idx="0">
                  <c:v>0.6</c:v>
                </c:pt>
                <c:pt idx="1">
                  <c:v>0.93</c:v>
                </c:pt>
                <c:pt idx="2">
                  <c:v>0.74</c:v>
                </c:pt>
                <c:pt idx="3">
                  <c:v>0.36</c:v>
                </c:pt>
                <c:pt idx="4">
                  <c:v>1.02</c:v>
                </c:pt>
                <c:pt idx="5">
                  <c:v>1.5</c:v>
                </c:pt>
                <c:pt idx="6">
                  <c:v>1.8</c:v>
                </c:pt>
                <c:pt idx="7">
                  <c:v>1.85</c:v>
                </c:pt>
              </c:numCache>
            </c:numRef>
          </c:val>
        </c:ser>
        <c:dLbls>
          <c:showLegendKey val="0"/>
          <c:showVal val="0"/>
          <c:showCatName val="0"/>
          <c:showSerName val="0"/>
          <c:showPercent val="0"/>
          <c:showBubbleSize val="0"/>
        </c:dLbls>
        <c:gapWidth val="138"/>
        <c:overlap val="38"/>
        <c:axId val="276988944"/>
        <c:axId val="276989504"/>
      </c:barChart>
      <c:catAx>
        <c:axId val="276988944"/>
        <c:scaling>
          <c:orientation val="minMax"/>
        </c:scaling>
        <c:delete val="1"/>
        <c:axPos val="b"/>
        <c:numFmt formatCode="General" sourceLinked="1"/>
        <c:majorTickMark val="none"/>
        <c:minorTickMark val="none"/>
        <c:tickLblPos val="none"/>
        <c:crossAx val="276989504"/>
        <c:crosses val="autoZero"/>
        <c:auto val="1"/>
        <c:lblAlgn val="ctr"/>
        <c:lblOffset val="100"/>
        <c:noMultiLvlLbl val="0"/>
      </c:catAx>
      <c:valAx>
        <c:axId val="276989504"/>
        <c:scaling>
          <c:orientation val="minMax"/>
        </c:scaling>
        <c:delete val="0"/>
        <c:axPos val="l"/>
        <c:numFmt formatCode="#,##0_);\(#,##0\)" sourceLinked="0"/>
        <c:majorTickMark val="none"/>
        <c:minorTickMark val="none"/>
        <c:tickLblPos val="nextTo"/>
        <c:spPr>
          <a:ln>
            <a:noFill/>
            <a:prstDash val="sysDash"/>
          </a:ln>
        </c:spPr>
        <c:txPr>
          <a:bodyPr/>
          <a:lstStyle/>
          <a:p>
            <a:pPr>
              <a:defRPr sz="1200" b="1">
                <a:solidFill>
                  <a:schemeClr val="bg1"/>
                </a:solidFill>
              </a:defRPr>
            </a:pPr>
            <a:endParaRPr lang="zh-TW"/>
          </a:p>
        </c:txPr>
        <c:crossAx val="276988944"/>
        <c:crosses val="autoZero"/>
        <c:crossBetween val="between"/>
      </c:valAx>
      <c:spPr>
        <a:noFill/>
        <a:ln>
          <a:noFill/>
        </a:ln>
      </c:spPr>
    </c:plotArea>
    <c:plotVisOnly val="1"/>
    <c:dispBlanksAs val="gap"/>
    <c:showDLblsOverMax val="0"/>
  </c:chart>
  <c:spPr>
    <a:noFill/>
    <a:ln w="19050"/>
  </c:spPr>
  <c:printSettings>
    <c:headerFooter/>
    <c:pageMargins b="0.7500000000000121" l="0.70000000000000062" r="0.70000000000000062" t="0.750000000000012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070159951979092E-2"/>
          <c:y val="0.14928788222459846"/>
          <c:w val="0.8073008441512376"/>
          <c:h val="0.7753662992125987"/>
        </c:manualLayout>
      </c:layout>
      <c:barChart>
        <c:barDir val="col"/>
        <c:grouping val="clustered"/>
        <c:varyColors val="0"/>
        <c:ser>
          <c:idx val="3"/>
          <c:order val="0"/>
          <c:tx>
            <c:strRef>
              <c:f>PK!$A$74:$B$74</c:f>
              <c:strCache>
                <c:ptCount val="2"/>
                <c:pt idx="0">
                  <c:v>1476</c:v>
                </c:pt>
                <c:pt idx="1">
                  <c:v>每股資本支出</c:v>
                </c:pt>
              </c:strCache>
            </c:strRef>
          </c:tx>
          <c:spPr>
            <a:solidFill>
              <a:schemeClr val="tx2">
                <a:lumMod val="60000"/>
                <a:lumOff val="40000"/>
              </a:schemeClr>
            </a:solidFill>
            <a:ln>
              <a:solidFill>
                <a:schemeClr val="accent1"/>
              </a:solidFill>
            </a:ln>
            <a:scene3d>
              <a:camera prst="orthographicFront"/>
              <a:lightRig rig="threePt" dir="t"/>
            </a:scene3d>
            <a:sp3d>
              <a:bevelT w="63500" h="25400"/>
            </a:sp3d>
          </c:spPr>
          <c:invertIfNegative val="0"/>
          <c:val>
            <c:numRef>
              <c:f>PK!$C$74:$J$74</c:f>
              <c:numCache>
                <c:formatCode>General</c:formatCode>
                <c:ptCount val="8"/>
                <c:pt idx="0">
                  <c:v>1.83</c:v>
                </c:pt>
                <c:pt idx="1">
                  <c:v>1.83</c:v>
                </c:pt>
                <c:pt idx="2">
                  <c:v>2.4500000000000002</c:v>
                </c:pt>
                <c:pt idx="3">
                  <c:v>2.46</c:v>
                </c:pt>
                <c:pt idx="4">
                  <c:v>0.73</c:v>
                </c:pt>
                <c:pt idx="5">
                  <c:v>0.88</c:v>
                </c:pt>
                <c:pt idx="6">
                  <c:v>0.57999999999999996</c:v>
                </c:pt>
                <c:pt idx="7">
                  <c:v>0.78</c:v>
                </c:pt>
              </c:numCache>
            </c:numRef>
          </c:val>
        </c:ser>
        <c:ser>
          <c:idx val="4"/>
          <c:order val="1"/>
          <c:tx>
            <c:strRef>
              <c:f>PK!$A$75:$B$75</c:f>
              <c:strCache>
                <c:ptCount val="2"/>
                <c:pt idx="0">
                  <c:v>1477</c:v>
                </c:pt>
                <c:pt idx="1">
                  <c:v>每股資本支出</c:v>
                </c:pt>
              </c:strCache>
            </c:strRef>
          </c:tx>
          <c:spPr>
            <a:solidFill>
              <a:srgbClr val="CC3300"/>
            </a:solidFill>
            <a:ln>
              <a:solidFill>
                <a:schemeClr val="accent2"/>
              </a:solidFill>
            </a:ln>
            <a:scene3d>
              <a:camera prst="orthographicFront"/>
              <a:lightRig rig="threePt" dir="t"/>
            </a:scene3d>
            <a:sp3d>
              <a:bevelT w="63500" h="25400"/>
            </a:sp3d>
          </c:spPr>
          <c:invertIfNegative val="0"/>
          <c:val>
            <c:numRef>
              <c:f>PK!$C$75:$J$75</c:f>
              <c:numCache>
                <c:formatCode>General</c:formatCode>
                <c:ptCount val="8"/>
                <c:pt idx="0">
                  <c:v>1.0900000000000001</c:v>
                </c:pt>
                <c:pt idx="1">
                  <c:v>17.059999999999999</c:v>
                </c:pt>
                <c:pt idx="2">
                  <c:v>0.38</c:v>
                </c:pt>
                <c:pt idx="3">
                  <c:v>0.92</c:v>
                </c:pt>
                <c:pt idx="4">
                  <c:v>0.61</c:v>
                </c:pt>
                <c:pt idx="5">
                  <c:v>0.34</c:v>
                </c:pt>
                <c:pt idx="6">
                  <c:v>0.41</c:v>
                </c:pt>
                <c:pt idx="7">
                  <c:v>1.17</c:v>
                </c:pt>
              </c:numCache>
            </c:numRef>
          </c:val>
        </c:ser>
        <c:ser>
          <c:idx val="5"/>
          <c:order val="2"/>
          <c:tx>
            <c:strRef>
              <c:f>PK!$A$76:$B$76</c:f>
              <c:strCache>
                <c:ptCount val="2"/>
                <c:pt idx="0">
                  <c:v>4426</c:v>
                </c:pt>
                <c:pt idx="1">
                  <c:v>每股資本支出</c:v>
                </c:pt>
              </c:strCache>
            </c:strRef>
          </c:tx>
          <c:spPr>
            <a:solidFill>
              <a:srgbClr val="FFCC00"/>
            </a:solidFill>
            <a:ln>
              <a:solidFill>
                <a:schemeClr val="accent6">
                  <a:lumMod val="75000"/>
                </a:schemeClr>
              </a:solidFill>
            </a:ln>
            <a:scene3d>
              <a:camera prst="orthographicFront"/>
              <a:lightRig rig="threePt" dir="t"/>
            </a:scene3d>
            <a:sp3d>
              <a:bevelT w="63500" h="25400"/>
            </a:sp3d>
          </c:spPr>
          <c:invertIfNegative val="0"/>
          <c:val>
            <c:numRef>
              <c:f>PK!$C$76:$J$76</c:f>
              <c:numCache>
                <c:formatCode>General</c:formatCode>
                <c:ptCount val="8"/>
                <c:pt idx="0">
                  <c:v>0.73</c:v>
                </c:pt>
                <c:pt idx="1">
                  <c:v>0.32</c:v>
                </c:pt>
                <c:pt idx="2">
                  <c:v>0.52</c:v>
                </c:pt>
                <c:pt idx="3">
                  <c:v>1.2</c:v>
                </c:pt>
                <c:pt idx="4">
                  <c:v>0.14000000000000001</c:v>
                </c:pt>
                <c:pt idx="5">
                  <c:v>0.73</c:v>
                </c:pt>
                <c:pt idx="6">
                  <c:v>1.54</c:v>
                </c:pt>
                <c:pt idx="7">
                  <c:v>1.64</c:v>
                </c:pt>
              </c:numCache>
            </c:numRef>
          </c:val>
        </c:ser>
        <c:dLbls>
          <c:showLegendKey val="0"/>
          <c:showVal val="0"/>
          <c:showCatName val="0"/>
          <c:showSerName val="0"/>
          <c:showPercent val="0"/>
          <c:showBubbleSize val="0"/>
        </c:dLbls>
        <c:gapWidth val="138"/>
        <c:overlap val="38"/>
        <c:axId val="276995104"/>
        <c:axId val="276995664"/>
      </c:barChart>
      <c:lineChart>
        <c:grouping val="standard"/>
        <c:varyColors val="0"/>
        <c:ser>
          <c:idx val="0"/>
          <c:order val="3"/>
          <c:tx>
            <c:strRef>
              <c:f>PK!$A$62:$B$62</c:f>
              <c:strCache>
                <c:ptCount val="2"/>
                <c:pt idx="0">
                  <c:v>1476</c:v>
                </c:pt>
                <c:pt idx="1">
                  <c:v>折舊率</c:v>
                </c:pt>
              </c:strCache>
            </c:strRef>
          </c:tx>
          <c:spPr>
            <a:ln w="34925">
              <a:solidFill>
                <a:schemeClr val="tx2">
                  <a:lumMod val="60000"/>
                  <a:lumOff val="40000"/>
                </a:schemeClr>
              </a:solidFill>
            </a:ln>
          </c:spPr>
          <c:marker>
            <c:symbol val="none"/>
          </c:marker>
          <c:val>
            <c:numRef>
              <c:f>PK!$C$62:$J$62</c:f>
              <c:numCache>
                <c:formatCode>0%</c:formatCode>
                <c:ptCount val="8"/>
                <c:pt idx="0">
                  <c:v>2.9909706546275394E-2</c:v>
                </c:pt>
                <c:pt idx="1">
                  <c:v>2.9306829765545363E-2</c:v>
                </c:pt>
                <c:pt idx="2">
                  <c:v>3.5060975609756101E-2</c:v>
                </c:pt>
                <c:pt idx="3">
                  <c:v>3.2751091703056769E-2</c:v>
                </c:pt>
                <c:pt idx="4">
                  <c:v>3.2120925838450637E-2</c:v>
                </c:pt>
                <c:pt idx="5">
                  <c:v>4.0782256141187696E-2</c:v>
                </c:pt>
                <c:pt idx="6">
                  <c:v>4.8459383753501402E-2</c:v>
                </c:pt>
                <c:pt idx="7">
                  <c:v>3.8855678906917164E-2</c:v>
                </c:pt>
              </c:numCache>
            </c:numRef>
          </c:val>
          <c:smooth val="1"/>
        </c:ser>
        <c:ser>
          <c:idx val="1"/>
          <c:order val="4"/>
          <c:tx>
            <c:strRef>
              <c:f>PK!$A$63:$B$63</c:f>
              <c:strCache>
                <c:ptCount val="2"/>
                <c:pt idx="0">
                  <c:v>1477</c:v>
                </c:pt>
                <c:pt idx="1">
                  <c:v>折舊率</c:v>
                </c:pt>
              </c:strCache>
            </c:strRef>
          </c:tx>
          <c:spPr>
            <a:ln w="34925">
              <a:solidFill>
                <a:srgbClr val="FF0000"/>
              </a:solidFill>
            </a:ln>
          </c:spPr>
          <c:marker>
            <c:symbol val="none"/>
          </c:marker>
          <c:val>
            <c:numRef>
              <c:f>PK!$C$63:$J$63</c:f>
              <c:numCache>
                <c:formatCode>0%</c:formatCode>
                <c:ptCount val="8"/>
                <c:pt idx="0">
                  <c:v>1.1265580057526366E-2</c:v>
                </c:pt>
                <c:pt idx="1">
                  <c:v>1.471012402653591E-2</c:v>
                </c:pt>
                <c:pt idx="2">
                  <c:v>1.4415781487101669E-2</c:v>
                </c:pt>
                <c:pt idx="3">
                  <c:v>1.7767249037607343E-2</c:v>
                </c:pt>
                <c:pt idx="4">
                  <c:v>1.2850221192331999E-2</c:v>
                </c:pt>
                <c:pt idx="5">
                  <c:v>1.6106442577030811E-2</c:v>
                </c:pt>
                <c:pt idx="6">
                  <c:v>1.6102683780630105E-2</c:v>
                </c:pt>
                <c:pt idx="7">
                  <c:v>1.9389865563598761E-2</c:v>
                </c:pt>
              </c:numCache>
            </c:numRef>
          </c:val>
          <c:smooth val="1"/>
        </c:ser>
        <c:ser>
          <c:idx val="2"/>
          <c:order val="5"/>
          <c:tx>
            <c:strRef>
              <c:f>PK!$A$64:$B$64</c:f>
              <c:strCache>
                <c:ptCount val="2"/>
                <c:pt idx="0">
                  <c:v>4426</c:v>
                </c:pt>
                <c:pt idx="1">
                  <c:v>折舊率</c:v>
                </c:pt>
              </c:strCache>
            </c:strRef>
          </c:tx>
          <c:spPr>
            <a:ln w="34925">
              <a:solidFill>
                <a:srgbClr val="FFFF00"/>
              </a:solidFill>
            </a:ln>
          </c:spPr>
          <c:marker>
            <c:symbol val="none"/>
          </c:marker>
          <c:val>
            <c:numRef>
              <c:f>PK!$C$64:$J$64</c:f>
              <c:numCache>
                <c:formatCode>0%</c:formatCode>
                <c:ptCount val="8"/>
                <c:pt idx="0">
                  <c:v>0.11734693877551021</c:v>
                </c:pt>
                <c:pt idx="1">
                  <c:v>9.9137931034482762E-2</c:v>
                </c:pt>
                <c:pt idx="2">
                  <c:v>0.12380952380952381</c:v>
                </c:pt>
                <c:pt idx="3">
                  <c:v>0.15135135135135136</c:v>
                </c:pt>
                <c:pt idx="4">
                  <c:v>0.11965811965811966</c:v>
                </c:pt>
                <c:pt idx="5">
                  <c:v>0.12608695652173912</c:v>
                </c:pt>
                <c:pt idx="6">
                  <c:v>0.11952191235059761</c:v>
                </c:pt>
                <c:pt idx="7">
                  <c:v>0.11538461538461539</c:v>
                </c:pt>
              </c:numCache>
            </c:numRef>
          </c:val>
          <c:smooth val="1"/>
        </c:ser>
        <c:dLbls>
          <c:showLegendKey val="0"/>
          <c:showVal val="0"/>
          <c:showCatName val="0"/>
          <c:showSerName val="0"/>
          <c:showPercent val="0"/>
          <c:showBubbleSize val="0"/>
        </c:dLbls>
        <c:marker val="1"/>
        <c:smooth val="0"/>
        <c:axId val="276996784"/>
        <c:axId val="276996224"/>
      </c:lineChart>
      <c:catAx>
        <c:axId val="276995104"/>
        <c:scaling>
          <c:orientation val="minMax"/>
        </c:scaling>
        <c:delete val="1"/>
        <c:axPos val="b"/>
        <c:numFmt formatCode="General" sourceLinked="1"/>
        <c:majorTickMark val="none"/>
        <c:minorTickMark val="none"/>
        <c:tickLblPos val="none"/>
        <c:crossAx val="276995664"/>
        <c:crosses val="autoZero"/>
        <c:auto val="1"/>
        <c:lblAlgn val="ctr"/>
        <c:lblOffset val="100"/>
        <c:noMultiLvlLbl val="0"/>
      </c:catAx>
      <c:valAx>
        <c:axId val="276995664"/>
        <c:scaling>
          <c:orientation val="minMax"/>
        </c:scaling>
        <c:delete val="0"/>
        <c:axPos val="l"/>
        <c:numFmt formatCode="#,##0_);[Red]\(#,##0\)" sourceLinked="0"/>
        <c:majorTickMark val="none"/>
        <c:minorTickMark val="none"/>
        <c:tickLblPos val="nextTo"/>
        <c:spPr>
          <a:ln>
            <a:noFill/>
          </a:ln>
        </c:spPr>
        <c:txPr>
          <a:bodyPr/>
          <a:lstStyle/>
          <a:p>
            <a:pPr>
              <a:defRPr sz="1200" b="1">
                <a:solidFill>
                  <a:schemeClr val="bg1"/>
                </a:solidFill>
              </a:defRPr>
            </a:pPr>
            <a:endParaRPr lang="zh-TW"/>
          </a:p>
        </c:txPr>
        <c:crossAx val="276995104"/>
        <c:crosses val="autoZero"/>
        <c:crossBetween val="between"/>
      </c:valAx>
      <c:valAx>
        <c:axId val="276996224"/>
        <c:scaling>
          <c:orientation val="minMax"/>
        </c:scaling>
        <c:delete val="0"/>
        <c:axPos val="r"/>
        <c:numFmt formatCode="0%" sourceLinked="1"/>
        <c:majorTickMark val="out"/>
        <c:minorTickMark val="none"/>
        <c:tickLblPos val="nextTo"/>
        <c:txPr>
          <a:bodyPr/>
          <a:lstStyle/>
          <a:p>
            <a:pPr>
              <a:defRPr>
                <a:solidFill>
                  <a:schemeClr val="bg1"/>
                </a:solidFill>
              </a:defRPr>
            </a:pPr>
            <a:endParaRPr lang="zh-TW"/>
          </a:p>
        </c:txPr>
        <c:crossAx val="276996784"/>
        <c:crosses val="max"/>
        <c:crossBetween val="between"/>
      </c:valAx>
      <c:catAx>
        <c:axId val="276996784"/>
        <c:scaling>
          <c:orientation val="minMax"/>
        </c:scaling>
        <c:delete val="1"/>
        <c:axPos val="b"/>
        <c:majorTickMark val="out"/>
        <c:minorTickMark val="none"/>
        <c:tickLblPos val="nextTo"/>
        <c:crossAx val="276996224"/>
        <c:crosses val="autoZero"/>
        <c:auto val="1"/>
        <c:lblAlgn val="ctr"/>
        <c:lblOffset val="100"/>
        <c:noMultiLvlLbl val="0"/>
      </c:catAx>
      <c:spPr>
        <a:noFill/>
      </c:spPr>
    </c:plotArea>
    <c:plotVisOnly val="1"/>
    <c:dispBlanksAs val="gap"/>
    <c:showDLblsOverMax val="0"/>
  </c:chart>
  <c:spPr>
    <a:noFill/>
    <a:ln w="19050"/>
  </c:spPr>
  <c:printSettings>
    <c:headerFooter/>
    <c:pageMargins b="0.7500000000000121" l="0.70000000000000062" r="0.70000000000000062" t="0.750000000000012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070115043250801E-2"/>
          <c:y val="0.16182292279821969"/>
          <c:w val="0.8073008441512376"/>
          <c:h val="0.68052683182251872"/>
        </c:manualLayout>
      </c:layout>
      <c:barChart>
        <c:barDir val="col"/>
        <c:grouping val="clustered"/>
        <c:varyColors val="0"/>
        <c:ser>
          <c:idx val="0"/>
          <c:order val="0"/>
          <c:tx>
            <c:strRef>
              <c:f>PK!$A$2:$B$2</c:f>
              <c:strCache>
                <c:ptCount val="2"/>
                <c:pt idx="0">
                  <c:v>1476</c:v>
                </c:pt>
                <c:pt idx="1">
                  <c:v>營業收入淨額</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PK!$C$1:$J$1</c:f>
              <c:numCache>
                <c:formatCode>General</c:formatCode>
                <c:ptCount val="8"/>
                <c:pt idx="0">
                  <c:v>1</c:v>
                </c:pt>
                <c:pt idx="1">
                  <c:v>2</c:v>
                </c:pt>
                <c:pt idx="2">
                  <c:v>3</c:v>
                </c:pt>
                <c:pt idx="3">
                  <c:v>4</c:v>
                </c:pt>
                <c:pt idx="4">
                  <c:v>5</c:v>
                </c:pt>
                <c:pt idx="5">
                  <c:v>6</c:v>
                </c:pt>
                <c:pt idx="6">
                  <c:v>7</c:v>
                </c:pt>
                <c:pt idx="7">
                  <c:v>8</c:v>
                </c:pt>
              </c:numCache>
            </c:numRef>
          </c:cat>
          <c:val>
            <c:numRef>
              <c:f>PK!$C$68:$J$68</c:f>
              <c:numCache>
                <c:formatCode>_(* #,##0.00_);_(* \(#,##0.00\);_(* "-"??_);_(@_)</c:formatCode>
                <c:ptCount val="8"/>
                <c:pt idx="0">
                  <c:v>19.760000000000002</c:v>
                </c:pt>
                <c:pt idx="1">
                  <c:v>21.43</c:v>
                </c:pt>
                <c:pt idx="2">
                  <c:v>17.850000000000001</c:v>
                </c:pt>
                <c:pt idx="3">
                  <c:v>19.47</c:v>
                </c:pt>
                <c:pt idx="4">
                  <c:v>21.83</c:v>
                </c:pt>
                <c:pt idx="5">
                  <c:v>22.15</c:v>
                </c:pt>
                <c:pt idx="6">
                  <c:v>18.88</c:v>
                </c:pt>
                <c:pt idx="7">
                  <c:v>24.9</c:v>
                </c:pt>
              </c:numCache>
            </c:numRef>
          </c:val>
        </c:ser>
        <c:ser>
          <c:idx val="1"/>
          <c:order val="1"/>
          <c:tx>
            <c:strRef>
              <c:f>PK!$A$3:$B$3</c:f>
              <c:strCache>
                <c:ptCount val="2"/>
                <c:pt idx="0">
                  <c:v>1477</c:v>
                </c:pt>
                <c:pt idx="1">
                  <c:v>營業收入淨額</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PK!$C$1:$J$1</c:f>
              <c:numCache>
                <c:formatCode>General</c:formatCode>
                <c:ptCount val="8"/>
                <c:pt idx="0">
                  <c:v>1</c:v>
                </c:pt>
                <c:pt idx="1">
                  <c:v>2</c:v>
                </c:pt>
                <c:pt idx="2">
                  <c:v>3</c:v>
                </c:pt>
                <c:pt idx="3">
                  <c:v>4</c:v>
                </c:pt>
                <c:pt idx="4">
                  <c:v>5</c:v>
                </c:pt>
                <c:pt idx="5">
                  <c:v>6</c:v>
                </c:pt>
                <c:pt idx="6">
                  <c:v>7</c:v>
                </c:pt>
                <c:pt idx="7">
                  <c:v>8</c:v>
                </c:pt>
              </c:numCache>
            </c:numRef>
          </c:cat>
          <c:val>
            <c:numRef>
              <c:f>PK!$C$69:$J$69</c:f>
              <c:numCache>
                <c:formatCode>_(* #,##0.00_);_(* \(#,##0.00\);_(* "-"??_);_(@_)</c:formatCode>
                <c:ptCount val="8"/>
                <c:pt idx="0">
                  <c:v>30.66</c:v>
                </c:pt>
                <c:pt idx="1">
                  <c:v>25.56</c:v>
                </c:pt>
                <c:pt idx="2">
                  <c:v>30.72</c:v>
                </c:pt>
                <c:pt idx="3">
                  <c:v>25.54</c:v>
                </c:pt>
                <c:pt idx="4">
                  <c:v>31.23</c:v>
                </c:pt>
                <c:pt idx="5">
                  <c:v>28.11</c:v>
                </c:pt>
                <c:pt idx="6">
                  <c:v>30.22</c:v>
                </c:pt>
                <c:pt idx="7">
                  <c:v>25.99</c:v>
                </c:pt>
              </c:numCache>
            </c:numRef>
          </c:val>
        </c:ser>
        <c:ser>
          <c:idx val="2"/>
          <c:order val="2"/>
          <c:tx>
            <c:strRef>
              <c:f>PK!$A$4:$B$4</c:f>
              <c:strCache>
                <c:ptCount val="2"/>
                <c:pt idx="0">
                  <c:v>4426</c:v>
                </c:pt>
                <c:pt idx="1">
                  <c:v>營業收入淨額</c:v>
                </c:pt>
              </c:strCache>
            </c:strRef>
          </c:tx>
          <c:spPr>
            <a:solidFill>
              <a:srgbClr val="FF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PK!$C$1:$J$1</c:f>
              <c:numCache>
                <c:formatCode>General</c:formatCode>
                <c:ptCount val="8"/>
                <c:pt idx="0">
                  <c:v>1</c:v>
                </c:pt>
                <c:pt idx="1">
                  <c:v>2</c:v>
                </c:pt>
                <c:pt idx="2">
                  <c:v>3</c:v>
                </c:pt>
                <c:pt idx="3">
                  <c:v>4</c:v>
                </c:pt>
                <c:pt idx="4">
                  <c:v>5</c:v>
                </c:pt>
                <c:pt idx="5">
                  <c:v>6</c:v>
                </c:pt>
                <c:pt idx="6">
                  <c:v>7</c:v>
                </c:pt>
                <c:pt idx="7">
                  <c:v>8</c:v>
                </c:pt>
              </c:numCache>
            </c:numRef>
          </c:cat>
          <c:val>
            <c:numRef>
              <c:f>PK!$C$70:$J$70</c:f>
              <c:numCache>
                <c:formatCode>General</c:formatCode>
                <c:ptCount val="8"/>
                <c:pt idx="0">
                  <c:v>4.6900000000000004</c:v>
                </c:pt>
                <c:pt idx="1">
                  <c:v>5</c:v>
                </c:pt>
                <c:pt idx="2">
                  <c:v>4.6399999999999997</c:v>
                </c:pt>
                <c:pt idx="3">
                  <c:v>4.0599999999999996</c:v>
                </c:pt>
                <c:pt idx="4">
                  <c:v>4.84</c:v>
                </c:pt>
                <c:pt idx="5">
                  <c:v>5.29</c:v>
                </c:pt>
                <c:pt idx="6">
                  <c:v>6.45</c:v>
                </c:pt>
                <c:pt idx="7">
                  <c:v>6.76</c:v>
                </c:pt>
              </c:numCache>
            </c:numRef>
          </c:val>
        </c:ser>
        <c:dLbls>
          <c:showLegendKey val="0"/>
          <c:showVal val="0"/>
          <c:showCatName val="0"/>
          <c:showSerName val="0"/>
          <c:showPercent val="0"/>
          <c:showBubbleSize val="0"/>
        </c:dLbls>
        <c:gapWidth val="138"/>
        <c:overlap val="38"/>
        <c:axId val="277002384"/>
        <c:axId val="277002944"/>
      </c:barChart>
      <c:lineChart>
        <c:grouping val="standard"/>
        <c:varyColors val="0"/>
        <c:ser>
          <c:idx val="3"/>
          <c:order val="3"/>
          <c:tx>
            <c:strRef>
              <c:f>PK!$A$47:$B$47</c:f>
              <c:strCache>
                <c:ptCount val="2"/>
                <c:pt idx="0">
                  <c:v>1476</c:v>
                </c:pt>
                <c:pt idx="1">
                  <c:v>毛利率</c:v>
                </c:pt>
              </c:strCache>
            </c:strRef>
          </c:tx>
          <c:spPr>
            <a:ln>
              <a:solidFill>
                <a:srgbClr val="00B0F0"/>
              </a:solidFill>
            </a:ln>
          </c:spPr>
          <c:marker>
            <c:symbol val="none"/>
          </c:marker>
          <c:val>
            <c:numRef>
              <c:f>PK!$C$47:$J$47</c:f>
              <c:numCache>
                <c:formatCode>0%</c:formatCode>
                <c:ptCount val="8"/>
                <c:pt idx="0">
                  <c:v>0.28533978624722728</c:v>
                </c:pt>
                <c:pt idx="1">
                  <c:v>0.27036072889550017</c:v>
                </c:pt>
                <c:pt idx="2">
                  <c:v>0.26753014738722641</c:v>
                </c:pt>
                <c:pt idx="3">
                  <c:v>0.25010233319688907</c:v>
                </c:pt>
                <c:pt idx="4">
                  <c:v>0.25680182552220465</c:v>
                </c:pt>
                <c:pt idx="5">
                  <c:v>0.27469295969555441</c:v>
                </c:pt>
                <c:pt idx="6">
                  <c:v>0.27556818181818182</c:v>
                </c:pt>
                <c:pt idx="7">
                  <c:v>0.27916281932902431</c:v>
                </c:pt>
              </c:numCache>
            </c:numRef>
          </c:val>
          <c:smooth val="1"/>
        </c:ser>
        <c:ser>
          <c:idx val="4"/>
          <c:order val="4"/>
          <c:tx>
            <c:strRef>
              <c:f>PK!$A$48:$B$48</c:f>
              <c:strCache>
                <c:ptCount val="2"/>
                <c:pt idx="0">
                  <c:v>1477</c:v>
                </c:pt>
                <c:pt idx="1">
                  <c:v>毛利率</c:v>
                </c:pt>
              </c:strCache>
            </c:strRef>
          </c:tx>
          <c:spPr>
            <a:ln>
              <a:solidFill>
                <a:srgbClr val="FF0000"/>
              </a:solidFill>
            </a:ln>
          </c:spPr>
          <c:marker>
            <c:symbol val="none"/>
          </c:marker>
          <c:val>
            <c:numRef>
              <c:f>PK!$C$48:$J$48</c:f>
              <c:numCache>
                <c:formatCode>0%</c:formatCode>
                <c:ptCount val="8"/>
                <c:pt idx="0">
                  <c:v>0.19256822140507063</c:v>
                </c:pt>
                <c:pt idx="1">
                  <c:v>0.19801064075873237</c:v>
                </c:pt>
                <c:pt idx="2">
                  <c:v>0.24151160560138116</c:v>
                </c:pt>
                <c:pt idx="3">
                  <c:v>0.22456946039035591</c:v>
                </c:pt>
                <c:pt idx="4">
                  <c:v>0.20245295698924731</c:v>
                </c:pt>
                <c:pt idx="5">
                  <c:v>0.20208604954367665</c:v>
                </c:pt>
                <c:pt idx="6">
                  <c:v>0.25890695261155311</c:v>
                </c:pt>
                <c:pt idx="7">
                  <c:v>0.22251256281407036</c:v>
                </c:pt>
              </c:numCache>
            </c:numRef>
          </c:val>
          <c:smooth val="1"/>
        </c:ser>
        <c:ser>
          <c:idx val="5"/>
          <c:order val="5"/>
          <c:tx>
            <c:strRef>
              <c:f>PK!$A$49:$B$49</c:f>
              <c:strCache>
                <c:ptCount val="2"/>
                <c:pt idx="0">
                  <c:v>4426</c:v>
                </c:pt>
                <c:pt idx="1">
                  <c:v>毛利率</c:v>
                </c:pt>
              </c:strCache>
            </c:strRef>
          </c:tx>
          <c:spPr>
            <a:ln>
              <a:solidFill>
                <a:srgbClr val="FFFF00"/>
              </a:solidFill>
            </a:ln>
          </c:spPr>
          <c:marker>
            <c:symbol val="none"/>
          </c:marker>
          <c:val>
            <c:numRef>
              <c:f>PK!$C$49:$J$49</c:f>
              <c:numCache>
                <c:formatCode>0%</c:formatCode>
                <c:ptCount val="8"/>
                <c:pt idx="0">
                  <c:v>0.34666666666666668</c:v>
                </c:pt>
                <c:pt idx="1">
                  <c:v>0.33141210374639768</c:v>
                </c:pt>
                <c:pt idx="2">
                  <c:v>0.34782608695652173</c:v>
                </c:pt>
                <c:pt idx="3">
                  <c:v>0.34397163120567376</c:v>
                </c:pt>
                <c:pt idx="4">
                  <c:v>0.3692722371967655</c:v>
                </c:pt>
                <c:pt idx="5">
                  <c:v>0.43209876543209874</c:v>
                </c:pt>
                <c:pt idx="6">
                  <c:v>0.49190283400809715</c:v>
                </c:pt>
                <c:pt idx="7">
                  <c:v>0.49806949806949807</c:v>
                </c:pt>
              </c:numCache>
            </c:numRef>
          </c:val>
          <c:smooth val="1"/>
        </c:ser>
        <c:dLbls>
          <c:showLegendKey val="0"/>
          <c:showVal val="0"/>
          <c:showCatName val="0"/>
          <c:showSerName val="0"/>
          <c:showPercent val="0"/>
          <c:showBubbleSize val="0"/>
        </c:dLbls>
        <c:marker val="1"/>
        <c:smooth val="0"/>
        <c:axId val="277004064"/>
        <c:axId val="277003504"/>
      </c:lineChart>
      <c:catAx>
        <c:axId val="277002384"/>
        <c:scaling>
          <c:orientation val="minMax"/>
        </c:scaling>
        <c:delete val="1"/>
        <c:axPos val="b"/>
        <c:numFmt formatCode="General" sourceLinked="1"/>
        <c:majorTickMark val="none"/>
        <c:minorTickMark val="none"/>
        <c:tickLblPos val="none"/>
        <c:crossAx val="277002944"/>
        <c:crosses val="autoZero"/>
        <c:auto val="1"/>
        <c:lblAlgn val="ctr"/>
        <c:lblOffset val="100"/>
        <c:noMultiLvlLbl val="0"/>
      </c:catAx>
      <c:valAx>
        <c:axId val="277002944"/>
        <c:scaling>
          <c:orientation val="minMax"/>
        </c:scaling>
        <c:delete val="0"/>
        <c:axPos val="l"/>
        <c:numFmt formatCode="#,##0_);[Red]\(#,##0\)" sourceLinked="0"/>
        <c:majorTickMark val="none"/>
        <c:minorTickMark val="none"/>
        <c:tickLblPos val="nextTo"/>
        <c:spPr>
          <a:ln>
            <a:noFill/>
          </a:ln>
        </c:spPr>
        <c:txPr>
          <a:bodyPr/>
          <a:lstStyle/>
          <a:p>
            <a:pPr>
              <a:defRPr sz="1200" b="1">
                <a:solidFill>
                  <a:schemeClr val="bg1"/>
                </a:solidFill>
              </a:defRPr>
            </a:pPr>
            <a:endParaRPr lang="zh-TW"/>
          </a:p>
        </c:txPr>
        <c:crossAx val="277002384"/>
        <c:crosses val="autoZero"/>
        <c:crossBetween val="between"/>
      </c:valAx>
      <c:valAx>
        <c:axId val="277003504"/>
        <c:scaling>
          <c:orientation val="minMax"/>
          <c:max val="0.52297297297297296"/>
          <c:min val="0.1829398103348171"/>
        </c:scaling>
        <c:delete val="0"/>
        <c:axPos val="r"/>
        <c:numFmt formatCode="0%" sourceLinked="0"/>
        <c:majorTickMark val="none"/>
        <c:minorTickMark val="none"/>
        <c:tickLblPos val="nextTo"/>
        <c:spPr>
          <a:ln>
            <a:noFill/>
          </a:ln>
        </c:spPr>
        <c:txPr>
          <a:bodyPr/>
          <a:lstStyle/>
          <a:p>
            <a:pPr>
              <a:defRPr sz="1100">
                <a:solidFill>
                  <a:schemeClr val="bg1"/>
                </a:solidFill>
              </a:defRPr>
            </a:pPr>
            <a:endParaRPr lang="zh-TW"/>
          </a:p>
        </c:txPr>
        <c:crossAx val="277004064"/>
        <c:crosses val="max"/>
        <c:crossBetween val="between"/>
      </c:valAx>
      <c:catAx>
        <c:axId val="277004064"/>
        <c:scaling>
          <c:orientation val="minMax"/>
        </c:scaling>
        <c:delete val="1"/>
        <c:axPos val="b"/>
        <c:majorTickMark val="out"/>
        <c:minorTickMark val="none"/>
        <c:tickLblPos val="none"/>
        <c:crossAx val="277003504"/>
        <c:crosses val="autoZero"/>
        <c:auto val="1"/>
        <c:lblAlgn val="ctr"/>
        <c:lblOffset val="100"/>
        <c:noMultiLvlLbl val="0"/>
      </c:catAx>
      <c:spPr>
        <a:noFill/>
      </c:spPr>
    </c:plotArea>
    <c:plotVisOnly val="1"/>
    <c:dispBlanksAs val="gap"/>
    <c:showDLblsOverMax val="0"/>
  </c:chart>
  <c:spPr>
    <a:noFill/>
    <a:ln w="19050"/>
  </c:spPr>
  <c:printSettings>
    <c:headerFooter/>
    <c:pageMargins b="0.7500000000000121" l="0.70000000000000062" r="0.70000000000000062" t="0.7500000000000121"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numRef>
              <c:f>福邦!$C$6:$C$20</c:f>
              <c:numCache>
                <c:formatCode>m"月"d"日"</c:formatCode>
                <c:ptCount val="15"/>
                <c:pt idx="0">
                  <c:v>42279</c:v>
                </c:pt>
                <c:pt idx="1">
                  <c:v>42278</c:v>
                </c:pt>
                <c:pt idx="2">
                  <c:v>42277</c:v>
                </c:pt>
                <c:pt idx="3">
                  <c:v>42272</c:v>
                </c:pt>
                <c:pt idx="4">
                  <c:v>42271</c:v>
                </c:pt>
                <c:pt idx="5">
                  <c:v>42270</c:v>
                </c:pt>
                <c:pt idx="6">
                  <c:v>42269</c:v>
                </c:pt>
                <c:pt idx="7">
                  <c:v>42268</c:v>
                </c:pt>
                <c:pt idx="8">
                  <c:v>42265</c:v>
                </c:pt>
                <c:pt idx="9">
                  <c:v>42264</c:v>
                </c:pt>
                <c:pt idx="10">
                  <c:v>42263</c:v>
                </c:pt>
                <c:pt idx="11">
                  <c:v>42262</c:v>
                </c:pt>
                <c:pt idx="12">
                  <c:v>42261</c:v>
                </c:pt>
                <c:pt idx="13">
                  <c:v>42258</c:v>
                </c:pt>
                <c:pt idx="14">
                  <c:v>42257</c:v>
                </c:pt>
              </c:numCache>
            </c:numRef>
          </c:cat>
          <c:val>
            <c:numRef>
              <c:f>福邦!$F$6:$F$20</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219"/>
        <c:overlap val="-27"/>
        <c:axId val="275566928"/>
        <c:axId val="275567488"/>
      </c:barChart>
      <c:dateAx>
        <c:axId val="275566928"/>
        <c:scaling>
          <c:orientation val="minMax"/>
        </c:scaling>
        <c:delete val="0"/>
        <c:axPos val="b"/>
        <c:numFmt formatCode="m&quot;月&quot;d&quot;日&quot;"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275567488"/>
        <c:crosses val="autoZero"/>
        <c:auto val="1"/>
        <c:lblOffset val="100"/>
        <c:baseTimeUnit val="days"/>
      </c:dateAx>
      <c:valAx>
        <c:axId val="275567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275566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17.emf"/><Relationship Id="rId18" Type="http://schemas.openxmlformats.org/officeDocument/2006/relationships/image" Target="../media/image12.emf"/><Relationship Id="rId26" Type="http://schemas.openxmlformats.org/officeDocument/2006/relationships/image" Target="../media/image30.emf"/><Relationship Id="rId3" Type="http://schemas.openxmlformats.org/officeDocument/2006/relationships/image" Target="../media/image26.emf"/><Relationship Id="rId21" Type="http://schemas.openxmlformats.org/officeDocument/2006/relationships/image" Target="../media/image9.emf"/><Relationship Id="rId7" Type="http://schemas.openxmlformats.org/officeDocument/2006/relationships/image" Target="../media/image22.emf"/><Relationship Id="rId12" Type="http://schemas.openxmlformats.org/officeDocument/2006/relationships/image" Target="../media/image18.emf"/><Relationship Id="rId17" Type="http://schemas.openxmlformats.org/officeDocument/2006/relationships/image" Target="../media/image13.emf"/><Relationship Id="rId25" Type="http://schemas.openxmlformats.org/officeDocument/2006/relationships/image" Target="../media/image31.emf"/><Relationship Id="rId2" Type="http://schemas.openxmlformats.org/officeDocument/2006/relationships/image" Target="../media/image27.emf"/><Relationship Id="rId16" Type="http://schemas.openxmlformats.org/officeDocument/2006/relationships/image" Target="../media/image14.emf"/><Relationship Id="rId20" Type="http://schemas.openxmlformats.org/officeDocument/2006/relationships/image" Target="../media/image10.emf"/><Relationship Id="rId29" Type="http://schemas.openxmlformats.org/officeDocument/2006/relationships/image" Target="../media/image6.emf"/><Relationship Id="rId1" Type="http://schemas.openxmlformats.org/officeDocument/2006/relationships/image" Target="../media/image28.emf"/><Relationship Id="rId6" Type="http://schemas.openxmlformats.org/officeDocument/2006/relationships/image" Target="../media/image23.emf"/><Relationship Id="rId11" Type="http://schemas.openxmlformats.org/officeDocument/2006/relationships/image" Target="../media/image29.emf"/><Relationship Id="rId24" Type="http://schemas.openxmlformats.org/officeDocument/2006/relationships/image" Target="../media/image7.emf"/><Relationship Id="rId32" Type="http://schemas.openxmlformats.org/officeDocument/2006/relationships/image" Target="../media/image3.emf"/><Relationship Id="rId5" Type="http://schemas.openxmlformats.org/officeDocument/2006/relationships/image" Target="../media/image24.emf"/><Relationship Id="rId15" Type="http://schemas.openxmlformats.org/officeDocument/2006/relationships/image" Target="../media/image15.emf"/><Relationship Id="rId23" Type="http://schemas.openxmlformats.org/officeDocument/2006/relationships/image" Target="../media/image34.emf"/><Relationship Id="rId28" Type="http://schemas.openxmlformats.org/officeDocument/2006/relationships/image" Target="../media/image33.emf"/><Relationship Id="rId10" Type="http://schemas.openxmlformats.org/officeDocument/2006/relationships/image" Target="../media/image19.emf"/><Relationship Id="rId19" Type="http://schemas.openxmlformats.org/officeDocument/2006/relationships/image" Target="../media/image11.emf"/><Relationship Id="rId31" Type="http://schemas.openxmlformats.org/officeDocument/2006/relationships/image" Target="../media/image4.emf"/><Relationship Id="rId4" Type="http://schemas.openxmlformats.org/officeDocument/2006/relationships/image" Target="../media/image25.emf"/><Relationship Id="rId9" Type="http://schemas.openxmlformats.org/officeDocument/2006/relationships/image" Target="../media/image20.emf"/><Relationship Id="rId14" Type="http://schemas.openxmlformats.org/officeDocument/2006/relationships/image" Target="../media/image16.emf"/><Relationship Id="rId22" Type="http://schemas.openxmlformats.org/officeDocument/2006/relationships/image" Target="../media/image8.emf"/><Relationship Id="rId27" Type="http://schemas.openxmlformats.org/officeDocument/2006/relationships/image" Target="../media/image32.emf"/><Relationship Id="rId30"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image" Target="../media/image39.emf"/><Relationship Id="rId7" Type="http://schemas.openxmlformats.org/officeDocument/2006/relationships/image" Target="../media/image36.emf"/><Relationship Id="rId2" Type="http://schemas.openxmlformats.org/officeDocument/2006/relationships/image" Target="../media/image40.emf"/><Relationship Id="rId1" Type="http://schemas.openxmlformats.org/officeDocument/2006/relationships/image" Target="../media/image41.emf"/><Relationship Id="rId6" Type="http://schemas.openxmlformats.org/officeDocument/2006/relationships/image" Target="../media/image42.emf"/><Relationship Id="rId11" Type="http://schemas.openxmlformats.org/officeDocument/2006/relationships/image" Target="../media/image45.emf"/><Relationship Id="rId5" Type="http://schemas.openxmlformats.org/officeDocument/2006/relationships/image" Target="../media/image37.emf"/><Relationship Id="rId10" Type="http://schemas.openxmlformats.org/officeDocument/2006/relationships/image" Target="../media/image44.emf"/><Relationship Id="rId4" Type="http://schemas.openxmlformats.org/officeDocument/2006/relationships/image" Target="../media/image38.emf"/><Relationship Id="rId9" Type="http://schemas.openxmlformats.org/officeDocument/2006/relationships/image" Target="../media/image43.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52.emf"/><Relationship Id="rId13" Type="http://schemas.openxmlformats.org/officeDocument/2006/relationships/image" Target="../media/image47.emf"/><Relationship Id="rId3" Type="http://schemas.openxmlformats.org/officeDocument/2006/relationships/image" Target="../media/image57.emf"/><Relationship Id="rId7" Type="http://schemas.openxmlformats.org/officeDocument/2006/relationships/image" Target="../media/image53.emf"/><Relationship Id="rId12" Type="http://schemas.openxmlformats.org/officeDocument/2006/relationships/image" Target="../media/image48.emf"/><Relationship Id="rId2" Type="http://schemas.openxmlformats.org/officeDocument/2006/relationships/image" Target="../media/image58.emf"/><Relationship Id="rId1" Type="http://schemas.openxmlformats.org/officeDocument/2006/relationships/image" Target="../media/image59.emf"/><Relationship Id="rId6" Type="http://schemas.openxmlformats.org/officeDocument/2006/relationships/image" Target="../media/image54.emf"/><Relationship Id="rId11" Type="http://schemas.openxmlformats.org/officeDocument/2006/relationships/image" Target="../media/image49.emf"/><Relationship Id="rId5" Type="http://schemas.openxmlformats.org/officeDocument/2006/relationships/image" Target="../media/image55.emf"/><Relationship Id="rId10" Type="http://schemas.openxmlformats.org/officeDocument/2006/relationships/image" Target="../media/image50.emf"/><Relationship Id="rId4" Type="http://schemas.openxmlformats.org/officeDocument/2006/relationships/image" Target="../media/image56.emf"/><Relationship Id="rId9" Type="http://schemas.openxmlformats.org/officeDocument/2006/relationships/image" Target="../media/image51.emf"/><Relationship Id="rId14" Type="http://schemas.openxmlformats.org/officeDocument/2006/relationships/image" Target="../media/image4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61.emf"/><Relationship Id="rId3" Type="http://schemas.openxmlformats.org/officeDocument/2006/relationships/image" Target="../media/image66.emf"/><Relationship Id="rId7" Type="http://schemas.openxmlformats.org/officeDocument/2006/relationships/image" Target="../media/image62.emf"/><Relationship Id="rId2" Type="http://schemas.openxmlformats.org/officeDocument/2006/relationships/image" Target="../media/image67.emf"/><Relationship Id="rId1" Type="http://schemas.openxmlformats.org/officeDocument/2006/relationships/image" Target="../media/image68.emf"/><Relationship Id="rId6" Type="http://schemas.openxmlformats.org/officeDocument/2006/relationships/image" Target="../media/image63.emf"/><Relationship Id="rId5" Type="http://schemas.openxmlformats.org/officeDocument/2006/relationships/image" Target="../media/image64.emf"/><Relationship Id="rId4" Type="http://schemas.openxmlformats.org/officeDocument/2006/relationships/image" Target="../media/image65.emf"/><Relationship Id="rId9" Type="http://schemas.openxmlformats.org/officeDocument/2006/relationships/image" Target="../media/image60.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7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 Id="rId6" Type="http://schemas.openxmlformats.org/officeDocument/2006/relationships/image" Target="../media/image71.emf"/><Relationship Id="rId5" Type="http://schemas.openxmlformats.org/officeDocument/2006/relationships/image" Target="../media/image72.emf"/><Relationship Id="rId4" Type="http://schemas.openxmlformats.org/officeDocument/2006/relationships/image" Target="../media/image7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79.emf"/><Relationship Id="rId1" Type="http://schemas.openxmlformats.org/officeDocument/2006/relationships/image" Target="../media/image7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2.emf"/><Relationship Id="rId1" Type="http://schemas.openxmlformats.org/officeDocument/2006/relationships/image" Target="../media/image8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0</xdr:row>
          <xdr:rowOff>28575</xdr:rowOff>
        </xdr:from>
        <xdr:to>
          <xdr:col>1</xdr:col>
          <xdr:colOff>1000125</xdr:colOff>
          <xdr:row>0</xdr:row>
          <xdr:rowOff>400050</xdr:rowOff>
        </xdr:to>
        <xdr:sp macro="" textlink="">
          <xdr:nvSpPr>
            <xdr:cNvPr id="22529" name="CommandButton1"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76200</xdr:rowOff>
        </xdr:from>
        <xdr:to>
          <xdr:col>2</xdr:col>
          <xdr:colOff>581025</xdr:colOff>
          <xdr:row>0</xdr:row>
          <xdr:rowOff>371475</xdr:rowOff>
        </xdr:to>
        <xdr:sp macro="" textlink="">
          <xdr:nvSpPr>
            <xdr:cNvPr id="22530" name="CommandButton2" hidden="1">
              <a:extLst>
                <a:ext uri="{63B3BB69-23CF-44E3-9099-C40C66FF867C}">
                  <a14:compatExt spid="_x0000_s22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38100</xdr:colOff>
      <xdr:row>1</xdr:row>
      <xdr:rowOff>38100</xdr:rowOff>
    </xdr:from>
    <xdr:to>
      <xdr:col>2</xdr:col>
      <xdr:colOff>784225</xdr:colOff>
      <xdr:row>12</xdr:row>
      <xdr:rowOff>184150</xdr:rowOff>
    </xdr:to>
    <xdr:graphicFrame macro="">
      <xdr:nvGraphicFramePr>
        <xdr:cNvPr id="12" name="圖表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13</xdr:row>
      <xdr:rowOff>38100</xdr:rowOff>
    </xdr:from>
    <xdr:to>
      <xdr:col>2</xdr:col>
      <xdr:colOff>784225</xdr:colOff>
      <xdr:row>24</xdr:row>
      <xdr:rowOff>184150</xdr:rowOff>
    </xdr:to>
    <xdr:graphicFrame macro="">
      <xdr:nvGraphicFramePr>
        <xdr:cNvPr id="13" name="圖表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xdr:colOff>
      <xdr:row>25</xdr:row>
      <xdr:rowOff>38100</xdr:rowOff>
    </xdr:from>
    <xdr:to>
      <xdr:col>2</xdr:col>
      <xdr:colOff>784225</xdr:colOff>
      <xdr:row>36</xdr:row>
      <xdr:rowOff>184150</xdr:rowOff>
    </xdr:to>
    <xdr:graphicFrame macro="">
      <xdr:nvGraphicFramePr>
        <xdr:cNvPr id="14" name="圖表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38100</xdr:colOff>
      <xdr:row>1</xdr:row>
      <xdr:rowOff>38100</xdr:rowOff>
    </xdr:from>
    <xdr:to>
      <xdr:col>9</xdr:col>
      <xdr:colOff>403225</xdr:colOff>
      <xdr:row>12</xdr:row>
      <xdr:rowOff>184150</xdr:rowOff>
    </xdr:to>
    <xdr:graphicFrame macro="">
      <xdr:nvGraphicFramePr>
        <xdr:cNvPr id="15" name="圖表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38100</xdr:colOff>
      <xdr:row>13</xdr:row>
      <xdr:rowOff>38100</xdr:rowOff>
    </xdr:from>
    <xdr:to>
      <xdr:col>9</xdr:col>
      <xdr:colOff>403225</xdr:colOff>
      <xdr:row>24</xdr:row>
      <xdr:rowOff>184150</xdr:rowOff>
    </xdr:to>
    <xdr:graphicFrame macro="">
      <xdr:nvGraphicFramePr>
        <xdr:cNvPr id="16" name="圖表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38100</xdr:colOff>
      <xdr:row>25</xdr:row>
      <xdr:rowOff>38100</xdr:rowOff>
    </xdr:from>
    <xdr:to>
      <xdr:col>9</xdr:col>
      <xdr:colOff>403225</xdr:colOff>
      <xdr:row>36</xdr:row>
      <xdr:rowOff>184150</xdr:rowOff>
    </xdr:to>
    <xdr:graphicFrame macro="">
      <xdr:nvGraphicFramePr>
        <xdr:cNvPr id="17" name="圖表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180975</xdr:colOff>
          <xdr:row>0</xdr:row>
          <xdr:rowOff>0</xdr:rowOff>
        </xdr:from>
        <xdr:to>
          <xdr:col>1</xdr:col>
          <xdr:colOff>266700</xdr:colOff>
          <xdr:row>1</xdr:row>
          <xdr:rowOff>0</xdr:rowOff>
        </xdr:to>
        <xdr:sp macro="" textlink="">
          <xdr:nvSpPr>
            <xdr:cNvPr id="1025" name="Combo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0</xdr:row>
          <xdr:rowOff>19050</xdr:rowOff>
        </xdr:from>
        <xdr:to>
          <xdr:col>4</xdr:col>
          <xdr:colOff>57150</xdr:colOff>
          <xdr:row>1</xdr:row>
          <xdr:rowOff>0</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0</xdr:row>
          <xdr:rowOff>19050</xdr:rowOff>
        </xdr:from>
        <xdr:to>
          <xdr:col>4</xdr:col>
          <xdr:colOff>923925</xdr:colOff>
          <xdr:row>0</xdr:row>
          <xdr:rowOff>342900</xdr:rowOff>
        </xdr:to>
        <xdr:sp macro="" textlink="">
          <xdr:nvSpPr>
            <xdr:cNvPr id="1027" name="CommandButton2"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19050</xdr:rowOff>
        </xdr:from>
        <xdr:to>
          <xdr:col>6</xdr:col>
          <xdr:colOff>838200</xdr:colOff>
          <xdr:row>1</xdr:row>
          <xdr:rowOff>0</xdr:rowOff>
        </xdr:to>
        <xdr:sp macro="" textlink="">
          <xdr:nvSpPr>
            <xdr:cNvPr id="1028" name="CommandButton4"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0</xdr:row>
          <xdr:rowOff>19050</xdr:rowOff>
        </xdr:from>
        <xdr:to>
          <xdr:col>5</xdr:col>
          <xdr:colOff>838200</xdr:colOff>
          <xdr:row>0</xdr:row>
          <xdr:rowOff>342900</xdr:rowOff>
        </xdr:to>
        <xdr:sp macro="" textlink="">
          <xdr:nvSpPr>
            <xdr:cNvPr id="1029" name="CommandButton5"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0</xdr:row>
          <xdr:rowOff>19050</xdr:rowOff>
        </xdr:from>
        <xdr:to>
          <xdr:col>7</xdr:col>
          <xdr:colOff>838200</xdr:colOff>
          <xdr:row>1</xdr:row>
          <xdr:rowOff>0</xdr:rowOff>
        </xdr:to>
        <xdr:sp macro="" textlink="">
          <xdr:nvSpPr>
            <xdr:cNvPr id="1030" name="CommandButton6"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8</xdr:col>
          <xdr:colOff>828675</xdr:colOff>
          <xdr:row>0</xdr:row>
          <xdr:rowOff>342900</xdr:rowOff>
        </xdr:to>
        <xdr:sp macro="" textlink="">
          <xdr:nvSpPr>
            <xdr:cNvPr id="1031" name="CommandButton7"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0</xdr:row>
          <xdr:rowOff>0</xdr:rowOff>
        </xdr:from>
        <xdr:to>
          <xdr:col>13</xdr:col>
          <xdr:colOff>1085850</xdr:colOff>
          <xdr:row>1</xdr:row>
          <xdr:rowOff>0</xdr:rowOff>
        </xdr:to>
        <xdr:sp macro="" textlink="">
          <xdr:nvSpPr>
            <xdr:cNvPr id="1032" name="CommandButton8"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34</xdr:row>
          <xdr:rowOff>161925</xdr:rowOff>
        </xdr:from>
        <xdr:to>
          <xdr:col>29</xdr:col>
          <xdr:colOff>609601</xdr:colOff>
          <xdr:row>36</xdr:row>
          <xdr:rowOff>161925</xdr:rowOff>
        </xdr:to>
        <xdr:sp macro="" textlink="">
          <xdr:nvSpPr>
            <xdr:cNvPr id="1033" name="CommandButton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0</xdr:row>
          <xdr:rowOff>0</xdr:rowOff>
        </xdr:from>
        <xdr:to>
          <xdr:col>27</xdr:col>
          <xdr:colOff>590550</xdr:colOff>
          <xdr:row>0</xdr:row>
          <xdr:rowOff>342900</xdr:rowOff>
        </xdr:to>
        <xdr:sp macro="" textlink="">
          <xdr:nvSpPr>
            <xdr:cNvPr id="1034" name="CommandButton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171450</xdr:colOff>
          <xdr:row>1</xdr:row>
          <xdr:rowOff>0</xdr:rowOff>
        </xdr:to>
        <xdr:sp macro="" textlink="">
          <xdr:nvSpPr>
            <xdr:cNvPr id="1040" name="CommandButton3"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32</xdr:row>
          <xdr:rowOff>114300</xdr:rowOff>
        </xdr:from>
        <xdr:to>
          <xdr:col>29</xdr:col>
          <xdr:colOff>600076</xdr:colOff>
          <xdr:row>34</xdr:row>
          <xdr:rowOff>114300</xdr:rowOff>
        </xdr:to>
        <xdr:sp macro="" textlink="">
          <xdr:nvSpPr>
            <xdr:cNvPr id="1042" name="CommandButton11"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24</xdr:row>
          <xdr:rowOff>95250</xdr:rowOff>
        </xdr:from>
        <xdr:to>
          <xdr:col>29</xdr:col>
          <xdr:colOff>609601</xdr:colOff>
          <xdr:row>26</xdr:row>
          <xdr:rowOff>95250</xdr:rowOff>
        </xdr:to>
        <xdr:sp macro="" textlink="">
          <xdr:nvSpPr>
            <xdr:cNvPr id="1044" name="CommandButton12"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24</xdr:row>
          <xdr:rowOff>76200</xdr:rowOff>
        </xdr:from>
        <xdr:to>
          <xdr:col>27</xdr:col>
          <xdr:colOff>1295400</xdr:colOff>
          <xdr:row>26</xdr:row>
          <xdr:rowOff>57150</xdr:rowOff>
        </xdr:to>
        <xdr:sp macro="" textlink="">
          <xdr:nvSpPr>
            <xdr:cNvPr id="1045" name="CommandButton13"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30</xdr:row>
          <xdr:rowOff>95250</xdr:rowOff>
        </xdr:from>
        <xdr:to>
          <xdr:col>29</xdr:col>
          <xdr:colOff>600076</xdr:colOff>
          <xdr:row>32</xdr:row>
          <xdr:rowOff>85725</xdr:rowOff>
        </xdr:to>
        <xdr:sp macro="" textlink="">
          <xdr:nvSpPr>
            <xdr:cNvPr id="1047" name="CommandButton14"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28</xdr:row>
          <xdr:rowOff>95250</xdr:rowOff>
        </xdr:from>
        <xdr:to>
          <xdr:col>29</xdr:col>
          <xdr:colOff>571501</xdr:colOff>
          <xdr:row>30</xdr:row>
          <xdr:rowOff>85725</xdr:rowOff>
        </xdr:to>
        <xdr:sp macro="" textlink="">
          <xdr:nvSpPr>
            <xdr:cNvPr id="1049" name="CommandButton1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16</xdr:row>
          <xdr:rowOff>38100</xdr:rowOff>
        </xdr:from>
        <xdr:to>
          <xdr:col>27</xdr:col>
          <xdr:colOff>1295400</xdr:colOff>
          <xdr:row>18</xdr:row>
          <xdr:rowOff>19050</xdr:rowOff>
        </xdr:to>
        <xdr:sp macro="" textlink="">
          <xdr:nvSpPr>
            <xdr:cNvPr id="1050" name="CommandButton1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18</xdr:row>
          <xdr:rowOff>47625</xdr:rowOff>
        </xdr:from>
        <xdr:to>
          <xdr:col>29</xdr:col>
          <xdr:colOff>609601</xdr:colOff>
          <xdr:row>20</xdr:row>
          <xdr:rowOff>47625</xdr:rowOff>
        </xdr:to>
        <xdr:sp macro="" textlink="">
          <xdr:nvSpPr>
            <xdr:cNvPr id="1051" name="CommandButton1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16</xdr:row>
          <xdr:rowOff>38100</xdr:rowOff>
        </xdr:from>
        <xdr:to>
          <xdr:col>29</xdr:col>
          <xdr:colOff>628651</xdr:colOff>
          <xdr:row>18</xdr:row>
          <xdr:rowOff>38100</xdr:rowOff>
        </xdr:to>
        <xdr:sp macro="" textlink="">
          <xdr:nvSpPr>
            <xdr:cNvPr id="1052" name="CommandButton1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26</xdr:row>
          <xdr:rowOff>85725</xdr:rowOff>
        </xdr:from>
        <xdr:to>
          <xdr:col>28</xdr:col>
          <xdr:colOff>0</xdr:colOff>
          <xdr:row>28</xdr:row>
          <xdr:rowOff>85725</xdr:rowOff>
        </xdr:to>
        <xdr:sp macro="" textlink="">
          <xdr:nvSpPr>
            <xdr:cNvPr id="1053" name="CommandButton1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1304925</xdr:colOff>
          <xdr:row>0</xdr:row>
          <xdr:rowOff>0</xdr:rowOff>
        </xdr:from>
        <xdr:to>
          <xdr:col>30</xdr:col>
          <xdr:colOff>1</xdr:colOff>
          <xdr:row>0</xdr:row>
          <xdr:rowOff>342900</xdr:rowOff>
        </xdr:to>
        <xdr:sp macro="" textlink="">
          <xdr:nvSpPr>
            <xdr:cNvPr id="1054" name="CommandButton2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22</xdr:row>
          <xdr:rowOff>66675</xdr:rowOff>
        </xdr:from>
        <xdr:to>
          <xdr:col>27</xdr:col>
          <xdr:colOff>1314450</xdr:colOff>
          <xdr:row>24</xdr:row>
          <xdr:rowOff>57150</xdr:rowOff>
        </xdr:to>
        <xdr:sp macro="" textlink="">
          <xdr:nvSpPr>
            <xdr:cNvPr id="1055" name="CommandButton21"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60061</xdr:colOff>
      <xdr:row>1</xdr:row>
      <xdr:rowOff>47624</xdr:rowOff>
    </xdr:from>
    <xdr:to>
      <xdr:col>21</xdr:col>
      <xdr:colOff>404813</xdr:colOff>
      <xdr:row>20</xdr:row>
      <xdr:rowOff>139513</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71437</xdr:colOff>
      <xdr:row>21</xdr:row>
      <xdr:rowOff>35018</xdr:rowOff>
    </xdr:from>
    <xdr:to>
      <xdr:col>21</xdr:col>
      <xdr:colOff>452438</xdr:colOff>
      <xdr:row>36</xdr:row>
      <xdr:rowOff>154781</xdr:rowOff>
    </xdr:to>
    <xdr:graphicFrame macro="">
      <xdr:nvGraphicFramePr>
        <xdr:cNvPr id="32" name="圖表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609600</xdr:colOff>
          <xdr:row>0</xdr:row>
          <xdr:rowOff>0</xdr:rowOff>
        </xdr:from>
        <xdr:to>
          <xdr:col>27</xdr:col>
          <xdr:colOff>1190625</xdr:colOff>
          <xdr:row>1</xdr:row>
          <xdr:rowOff>0</xdr:rowOff>
        </xdr:to>
        <xdr:sp macro="" textlink="">
          <xdr:nvSpPr>
            <xdr:cNvPr id="1060" name="CommandButton25"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28575</xdr:colOff>
          <xdr:row>26</xdr:row>
          <xdr:rowOff>114300</xdr:rowOff>
        </xdr:from>
        <xdr:to>
          <xdr:col>29</xdr:col>
          <xdr:colOff>600076</xdr:colOff>
          <xdr:row>28</xdr:row>
          <xdr:rowOff>114300</xdr:rowOff>
        </xdr:to>
        <xdr:sp macro="" textlink="">
          <xdr:nvSpPr>
            <xdr:cNvPr id="1061" name="CommandButton26"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18</xdr:row>
          <xdr:rowOff>28575</xdr:rowOff>
        </xdr:from>
        <xdr:to>
          <xdr:col>27</xdr:col>
          <xdr:colOff>666750</xdr:colOff>
          <xdr:row>20</xdr:row>
          <xdr:rowOff>19050</xdr:rowOff>
        </xdr:to>
        <xdr:sp macro="" textlink="">
          <xdr:nvSpPr>
            <xdr:cNvPr id="1057" name="CommandButton2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685800</xdr:colOff>
          <xdr:row>18</xdr:row>
          <xdr:rowOff>28575</xdr:rowOff>
        </xdr:from>
        <xdr:to>
          <xdr:col>28</xdr:col>
          <xdr:colOff>0</xdr:colOff>
          <xdr:row>20</xdr:row>
          <xdr:rowOff>19050</xdr:rowOff>
        </xdr:to>
        <xdr:sp macro="" textlink="">
          <xdr:nvSpPr>
            <xdr:cNvPr id="1056" name="CommandButton10"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20</xdr:row>
          <xdr:rowOff>47625</xdr:rowOff>
        </xdr:from>
        <xdr:to>
          <xdr:col>27</xdr:col>
          <xdr:colOff>666750</xdr:colOff>
          <xdr:row>22</xdr:row>
          <xdr:rowOff>28575</xdr:rowOff>
        </xdr:to>
        <xdr:sp macro="" textlink="">
          <xdr:nvSpPr>
            <xdr:cNvPr id="1058" name="CommandButton23"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695325</xdr:colOff>
          <xdr:row>20</xdr:row>
          <xdr:rowOff>38100</xdr:rowOff>
        </xdr:from>
        <xdr:to>
          <xdr:col>27</xdr:col>
          <xdr:colOff>1285875</xdr:colOff>
          <xdr:row>22</xdr:row>
          <xdr:rowOff>28575</xdr:rowOff>
        </xdr:to>
        <xdr:sp macro="" textlink="">
          <xdr:nvSpPr>
            <xdr:cNvPr id="1059" name="CommandButton24"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66675</xdr:rowOff>
        </xdr:from>
        <xdr:to>
          <xdr:col>29</xdr:col>
          <xdr:colOff>571501</xdr:colOff>
          <xdr:row>22</xdr:row>
          <xdr:rowOff>57150</xdr:rowOff>
        </xdr:to>
        <xdr:sp macro="" textlink="">
          <xdr:nvSpPr>
            <xdr:cNvPr id="1063" name="CommandButton27"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22</xdr:row>
          <xdr:rowOff>85725</xdr:rowOff>
        </xdr:from>
        <xdr:to>
          <xdr:col>29</xdr:col>
          <xdr:colOff>600076</xdr:colOff>
          <xdr:row>24</xdr:row>
          <xdr:rowOff>85725</xdr:rowOff>
        </xdr:to>
        <xdr:sp macro="" textlink="">
          <xdr:nvSpPr>
            <xdr:cNvPr id="1065" name="CommandButton28"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0</xdr:row>
          <xdr:rowOff>19050</xdr:rowOff>
        </xdr:from>
        <xdr:to>
          <xdr:col>9</xdr:col>
          <xdr:colOff>438150</xdr:colOff>
          <xdr:row>0</xdr:row>
          <xdr:rowOff>342900</xdr:rowOff>
        </xdr:to>
        <xdr:sp macro="" textlink="">
          <xdr:nvSpPr>
            <xdr:cNvPr id="1066" name="CommandButton29"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0</xdr:row>
          <xdr:rowOff>0</xdr:rowOff>
        </xdr:from>
        <xdr:to>
          <xdr:col>30</xdr:col>
          <xdr:colOff>590550</xdr:colOff>
          <xdr:row>0</xdr:row>
          <xdr:rowOff>342900</xdr:rowOff>
        </xdr:to>
        <xdr:sp macro="" textlink="">
          <xdr:nvSpPr>
            <xdr:cNvPr id="1068" name="CommandButton30"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419100</xdr:colOff>
          <xdr:row>1</xdr:row>
          <xdr:rowOff>19050</xdr:rowOff>
        </xdr:from>
        <xdr:to>
          <xdr:col>6</xdr:col>
          <xdr:colOff>485775</xdr:colOff>
          <xdr:row>1</xdr:row>
          <xdr:rowOff>342900</xdr:rowOff>
        </xdr:to>
        <xdr:sp macro="" textlink="">
          <xdr:nvSpPr>
            <xdr:cNvPr id="2049" name="CommandButton2"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0</xdr:row>
          <xdr:rowOff>38100</xdr:rowOff>
        </xdr:from>
        <xdr:to>
          <xdr:col>11</xdr:col>
          <xdr:colOff>409575</xdr:colOff>
          <xdr:row>0</xdr:row>
          <xdr:rowOff>295275</xdr:rowOff>
        </xdr:to>
        <xdr:sp macro="" textlink="">
          <xdr:nvSpPr>
            <xdr:cNvPr id="2050" name="CommandButton3"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0</xdr:row>
          <xdr:rowOff>38100</xdr:rowOff>
        </xdr:from>
        <xdr:to>
          <xdr:col>9</xdr:col>
          <xdr:colOff>361950</xdr:colOff>
          <xdr:row>0</xdr:row>
          <xdr:rowOff>295275</xdr:rowOff>
        </xdr:to>
        <xdr:sp macro="" textlink="">
          <xdr:nvSpPr>
            <xdr:cNvPr id="2051" name="CommandButton4"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0</xdr:row>
          <xdr:rowOff>38100</xdr:rowOff>
        </xdr:from>
        <xdr:to>
          <xdr:col>8</xdr:col>
          <xdr:colOff>381000</xdr:colOff>
          <xdr:row>0</xdr:row>
          <xdr:rowOff>295275</xdr:rowOff>
        </xdr:to>
        <xdr:sp macro="" textlink="">
          <xdr:nvSpPr>
            <xdr:cNvPr id="2052" name="CommandButton5"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657225</xdr:colOff>
          <xdr:row>1</xdr:row>
          <xdr:rowOff>19050</xdr:rowOff>
        </xdr:from>
        <xdr:to>
          <xdr:col>1</xdr:col>
          <xdr:colOff>695325</xdr:colOff>
          <xdr:row>1</xdr:row>
          <xdr:rowOff>342900</xdr:rowOff>
        </xdr:to>
        <xdr:sp macro="" textlink="">
          <xdr:nvSpPr>
            <xdr:cNvPr id="2053" name="CommandButton6"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0</xdr:row>
          <xdr:rowOff>38100</xdr:rowOff>
        </xdr:from>
        <xdr:to>
          <xdr:col>10</xdr:col>
          <xdr:colOff>409575</xdr:colOff>
          <xdr:row>0</xdr:row>
          <xdr:rowOff>295275</xdr:rowOff>
        </xdr:to>
        <xdr:sp macro="" textlink="">
          <xdr:nvSpPr>
            <xdr:cNvPr id="2057" name="CommandButton1"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0</xdr:row>
          <xdr:rowOff>38100</xdr:rowOff>
        </xdr:from>
        <xdr:to>
          <xdr:col>7</xdr:col>
          <xdr:colOff>390525</xdr:colOff>
          <xdr:row>0</xdr:row>
          <xdr:rowOff>295275</xdr:rowOff>
        </xdr:to>
        <xdr:sp macro="" textlink="">
          <xdr:nvSpPr>
            <xdr:cNvPr id="2059" name="CommandButton7"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xdr:row>
          <xdr:rowOff>28575</xdr:rowOff>
        </xdr:from>
        <xdr:to>
          <xdr:col>16</xdr:col>
          <xdr:colOff>609600</xdr:colOff>
          <xdr:row>1</xdr:row>
          <xdr:rowOff>342900</xdr:rowOff>
        </xdr:to>
        <xdr:sp macro="" textlink="">
          <xdr:nvSpPr>
            <xdr:cNvPr id="2062" name="CommandButton9"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xdr:row>
          <xdr:rowOff>19050</xdr:rowOff>
        </xdr:from>
        <xdr:to>
          <xdr:col>0</xdr:col>
          <xdr:colOff>638175</xdr:colOff>
          <xdr:row>1</xdr:row>
          <xdr:rowOff>342900</xdr:rowOff>
        </xdr:to>
        <xdr:sp macro="" textlink="">
          <xdr:nvSpPr>
            <xdr:cNvPr id="2063" name="CommandButton8"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xdr:row>
          <xdr:rowOff>28575</xdr:rowOff>
        </xdr:from>
        <xdr:to>
          <xdr:col>12</xdr:col>
          <xdr:colOff>457200</xdr:colOff>
          <xdr:row>1</xdr:row>
          <xdr:rowOff>342900</xdr:rowOff>
        </xdr:to>
        <xdr:sp macro="" textlink="">
          <xdr:nvSpPr>
            <xdr:cNvPr id="2064" name="CommandButton10"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xdr:row>
          <xdr:rowOff>28575</xdr:rowOff>
        </xdr:from>
        <xdr:to>
          <xdr:col>17</xdr:col>
          <xdr:colOff>533400</xdr:colOff>
          <xdr:row>1</xdr:row>
          <xdr:rowOff>342900</xdr:rowOff>
        </xdr:to>
        <xdr:sp macro="" textlink="">
          <xdr:nvSpPr>
            <xdr:cNvPr id="2065" name="CommandButton11"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0</xdr:row>
          <xdr:rowOff>19050</xdr:rowOff>
        </xdr:from>
        <xdr:to>
          <xdr:col>3</xdr:col>
          <xdr:colOff>828675</xdr:colOff>
          <xdr:row>1</xdr:row>
          <xdr:rowOff>0</xdr:rowOff>
        </xdr:to>
        <xdr:sp macro="" textlink="">
          <xdr:nvSpPr>
            <xdr:cNvPr id="4097" name="CommandButton2"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0</xdr:row>
          <xdr:rowOff>19050</xdr:rowOff>
        </xdr:from>
        <xdr:to>
          <xdr:col>4</xdr:col>
          <xdr:colOff>828675</xdr:colOff>
          <xdr:row>1</xdr:row>
          <xdr:rowOff>0</xdr:rowOff>
        </xdr:to>
        <xdr:sp macro="" textlink="">
          <xdr:nvSpPr>
            <xdr:cNvPr id="4098" name="CommandButton3"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19050</xdr:rowOff>
        </xdr:from>
        <xdr:to>
          <xdr:col>5</xdr:col>
          <xdr:colOff>971550</xdr:colOff>
          <xdr:row>1</xdr:row>
          <xdr:rowOff>0</xdr:rowOff>
        </xdr:to>
        <xdr:sp macro="" textlink="">
          <xdr:nvSpPr>
            <xdr:cNvPr id="4099" name="CommandButton4"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8</xdr:col>
          <xdr:colOff>9525</xdr:colOff>
          <xdr:row>1</xdr:row>
          <xdr:rowOff>0</xdr:rowOff>
        </xdr:to>
        <xdr:sp macro="" textlink="">
          <xdr:nvSpPr>
            <xdr:cNvPr id="4100" name="CommandButton5"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0</xdr:row>
          <xdr:rowOff>9525</xdr:rowOff>
        </xdr:from>
        <xdr:to>
          <xdr:col>8</xdr:col>
          <xdr:colOff>828675</xdr:colOff>
          <xdr:row>0</xdr:row>
          <xdr:rowOff>419100</xdr:rowOff>
        </xdr:to>
        <xdr:sp macro="" textlink="">
          <xdr:nvSpPr>
            <xdr:cNvPr id="4104" name="CommandButton9" hidden="1">
              <a:extLst>
                <a:ext uri="{63B3BB69-23CF-44E3-9099-C40C66FF867C}">
                  <a14:compatExt spid="_x0000_s4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9</xdr:col>
          <xdr:colOff>809625</xdr:colOff>
          <xdr:row>0</xdr:row>
          <xdr:rowOff>419100</xdr:rowOff>
        </xdr:to>
        <xdr:sp macro="" textlink="">
          <xdr:nvSpPr>
            <xdr:cNvPr id="4105" name="CommandButton10" hidden="1">
              <a:extLst>
                <a:ext uri="{63B3BB69-23CF-44E3-9099-C40C66FF867C}">
                  <a14:compatExt spid="_x0000_s4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0</xdr:row>
          <xdr:rowOff>9525</xdr:rowOff>
        </xdr:from>
        <xdr:to>
          <xdr:col>11</xdr:col>
          <xdr:colOff>19050</xdr:colOff>
          <xdr:row>0</xdr:row>
          <xdr:rowOff>419100</xdr:rowOff>
        </xdr:to>
        <xdr:sp macro="" textlink="">
          <xdr:nvSpPr>
            <xdr:cNvPr id="4106" name="CommandButton11" hidden="1">
              <a:extLst>
                <a:ext uri="{63B3BB69-23CF-44E3-9099-C40C66FF867C}">
                  <a14:compatExt spid="_x0000_s4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0</xdr:rowOff>
        </xdr:from>
        <xdr:to>
          <xdr:col>0</xdr:col>
          <xdr:colOff>714375</xdr:colOff>
          <xdr:row>0</xdr:row>
          <xdr:rowOff>409575</xdr:rowOff>
        </xdr:to>
        <xdr:sp macro="" textlink="">
          <xdr:nvSpPr>
            <xdr:cNvPr id="4107" name="CommandButton12" hidden="1">
              <a:extLst>
                <a:ext uri="{63B3BB69-23CF-44E3-9099-C40C66FF867C}">
                  <a14:compatExt spid="_x0000_s4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19050</xdr:rowOff>
        </xdr:from>
        <xdr:to>
          <xdr:col>6</xdr:col>
          <xdr:colOff>828675</xdr:colOff>
          <xdr:row>1</xdr:row>
          <xdr:rowOff>0</xdr:rowOff>
        </xdr:to>
        <xdr:sp macro="" textlink="">
          <xdr:nvSpPr>
            <xdr:cNvPr id="4108" name="CommandButton13" hidden="1">
              <a:extLst>
                <a:ext uri="{63B3BB69-23CF-44E3-9099-C40C66FF867C}">
                  <a14:compatExt spid="_x0000_s4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828675</xdr:colOff>
          <xdr:row>1</xdr:row>
          <xdr:rowOff>0</xdr:rowOff>
        </xdr:to>
        <xdr:sp macro="" textlink="">
          <xdr:nvSpPr>
            <xdr:cNvPr id="4109" name="CommandButton1" hidden="1">
              <a:extLst>
                <a:ext uri="{63B3BB69-23CF-44E3-9099-C40C66FF867C}">
                  <a14:compatExt spid="_x0000_s41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9525</xdr:rowOff>
        </xdr:from>
        <xdr:to>
          <xdr:col>12</xdr:col>
          <xdr:colOff>790575</xdr:colOff>
          <xdr:row>0</xdr:row>
          <xdr:rowOff>419100</xdr:rowOff>
        </xdr:to>
        <xdr:sp macro="" textlink="">
          <xdr:nvSpPr>
            <xdr:cNvPr id="4110" name="CommandButton14" hidden="1">
              <a:extLst>
                <a:ext uri="{63B3BB69-23CF-44E3-9099-C40C66FF867C}">
                  <a14:compatExt spid="_x0000_s4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0</xdr:row>
          <xdr:rowOff>9525</xdr:rowOff>
        </xdr:from>
        <xdr:to>
          <xdr:col>11</xdr:col>
          <xdr:colOff>819150</xdr:colOff>
          <xdr:row>0</xdr:row>
          <xdr:rowOff>419100</xdr:rowOff>
        </xdr:to>
        <xdr:sp macro="" textlink="">
          <xdr:nvSpPr>
            <xdr:cNvPr id="4111" name="CommandButton15" hidden="1">
              <a:extLst>
                <a:ext uri="{63B3BB69-23CF-44E3-9099-C40C66FF867C}">
                  <a14:compatExt spid="_x0000_s4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0</xdr:row>
          <xdr:rowOff>19050</xdr:rowOff>
        </xdr:from>
        <xdr:to>
          <xdr:col>13</xdr:col>
          <xdr:colOff>828675</xdr:colOff>
          <xdr:row>1</xdr:row>
          <xdr:rowOff>0</xdr:rowOff>
        </xdr:to>
        <xdr:sp macro="" textlink="">
          <xdr:nvSpPr>
            <xdr:cNvPr id="4112" name="CommandButton16" hidden="1">
              <a:extLst>
                <a:ext uri="{63B3BB69-23CF-44E3-9099-C40C66FF867C}">
                  <a14:compatExt spid="_x0000_s41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0</xdr:row>
          <xdr:rowOff>28575</xdr:rowOff>
        </xdr:from>
        <xdr:to>
          <xdr:col>14</xdr:col>
          <xdr:colOff>790575</xdr:colOff>
          <xdr:row>1</xdr:row>
          <xdr:rowOff>0</xdr:rowOff>
        </xdr:to>
        <xdr:sp macro="" textlink="">
          <xdr:nvSpPr>
            <xdr:cNvPr id="4113" name="CommandButton17" hidden="1">
              <a:extLst>
                <a:ext uri="{63B3BB69-23CF-44E3-9099-C40C66FF867C}">
                  <a14:compatExt spid="_x0000_s4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9525</xdr:colOff>
      <xdr:row>23</xdr:row>
      <xdr:rowOff>200025</xdr:rowOff>
    </xdr:from>
    <xdr:to>
      <xdr:col>8</xdr:col>
      <xdr:colOff>47626</xdr:colOff>
      <xdr:row>34</xdr:row>
      <xdr:rowOff>95251</xdr:rowOff>
    </xdr:to>
    <xdr:graphicFrame macro="">
      <xdr:nvGraphicFramePr>
        <xdr:cNvPr id="2" name="圖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57150</xdr:colOff>
      <xdr:row>1</xdr:row>
      <xdr:rowOff>76200</xdr:rowOff>
    </xdr:from>
    <xdr:to>
      <xdr:col>15</xdr:col>
      <xdr:colOff>647700</xdr:colOff>
      <xdr:row>12</xdr:row>
      <xdr:rowOff>95250</xdr:rowOff>
    </xdr:to>
    <xdr:graphicFrame macro="">
      <xdr:nvGraphicFramePr>
        <xdr:cNvPr id="3" name="圖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38100</xdr:colOff>
      <xdr:row>12</xdr:row>
      <xdr:rowOff>171451</xdr:rowOff>
    </xdr:from>
    <xdr:to>
      <xdr:col>15</xdr:col>
      <xdr:colOff>647700</xdr:colOff>
      <xdr:row>23</xdr:row>
      <xdr:rowOff>104775</xdr:rowOff>
    </xdr:to>
    <xdr:graphicFrame macro="">
      <xdr:nvGraphicFramePr>
        <xdr:cNvPr id="4" name="圖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19049</xdr:colOff>
      <xdr:row>12</xdr:row>
      <xdr:rowOff>200025</xdr:rowOff>
    </xdr:from>
    <xdr:to>
      <xdr:col>9</xdr:col>
      <xdr:colOff>0</xdr:colOff>
      <xdr:row>23</xdr:row>
      <xdr:rowOff>95250</xdr:rowOff>
    </xdr:to>
    <xdr:graphicFrame macro="">
      <xdr:nvGraphicFramePr>
        <xdr:cNvPr id="5" name="圖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47625</xdr:colOff>
      <xdr:row>23</xdr:row>
      <xdr:rowOff>190500</xdr:rowOff>
    </xdr:from>
    <xdr:to>
      <xdr:col>15</xdr:col>
      <xdr:colOff>666750</xdr:colOff>
      <xdr:row>34</xdr:row>
      <xdr:rowOff>152400</xdr:rowOff>
    </xdr:to>
    <xdr:graphicFrame macro="">
      <xdr:nvGraphicFramePr>
        <xdr:cNvPr id="6" name="圖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38100</xdr:colOff>
      <xdr:row>1</xdr:row>
      <xdr:rowOff>85724</xdr:rowOff>
    </xdr:from>
    <xdr:to>
      <xdr:col>8</xdr:col>
      <xdr:colOff>76200</xdr:colOff>
      <xdr:row>12</xdr:row>
      <xdr:rowOff>104775</xdr:rowOff>
    </xdr:to>
    <xdr:graphicFrame macro="">
      <xdr:nvGraphicFramePr>
        <xdr:cNvPr id="8" name="圖表 7" descr="&#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xdr:colOff>
          <xdr:row>0</xdr:row>
          <xdr:rowOff>47625</xdr:rowOff>
        </xdr:from>
        <xdr:to>
          <xdr:col>2</xdr:col>
          <xdr:colOff>38100</xdr:colOff>
          <xdr:row>1</xdr:row>
          <xdr:rowOff>0</xdr:rowOff>
        </xdr:to>
        <xdr:sp macro="" textlink="">
          <xdr:nvSpPr>
            <xdr:cNvPr id="7169" name="ComboBox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0</xdr:row>
          <xdr:rowOff>47625</xdr:rowOff>
        </xdr:from>
        <xdr:to>
          <xdr:col>3</xdr:col>
          <xdr:colOff>914400</xdr:colOff>
          <xdr:row>1</xdr:row>
          <xdr:rowOff>0</xdr:rowOff>
        </xdr:to>
        <xdr:sp macro="" textlink="">
          <xdr:nvSpPr>
            <xdr:cNvPr id="7170" name="ComboBox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47625</xdr:rowOff>
        </xdr:from>
        <xdr:to>
          <xdr:col>5</xdr:col>
          <xdr:colOff>885825</xdr:colOff>
          <xdr:row>1</xdr:row>
          <xdr:rowOff>0</xdr:rowOff>
        </xdr:to>
        <xdr:sp macro="" textlink="">
          <xdr:nvSpPr>
            <xdr:cNvPr id="7171" name="ComboBox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0</xdr:row>
          <xdr:rowOff>38100</xdr:rowOff>
        </xdr:from>
        <xdr:to>
          <xdr:col>8</xdr:col>
          <xdr:colOff>9525</xdr:colOff>
          <xdr:row>0</xdr:row>
          <xdr:rowOff>342900</xdr:rowOff>
        </xdr:to>
        <xdr:sp macro="" textlink="">
          <xdr:nvSpPr>
            <xdr:cNvPr id="7172" name="CommandButton1"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0</xdr:row>
          <xdr:rowOff>38100</xdr:rowOff>
        </xdr:from>
        <xdr:to>
          <xdr:col>11</xdr:col>
          <xdr:colOff>904875</xdr:colOff>
          <xdr:row>0</xdr:row>
          <xdr:rowOff>342900</xdr:rowOff>
        </xdr:to>
        <xdr:sp macro="" textlink="">
          <xdr:nvSpPr>
            <xdr:cNvPr id="7173" name="CommandButton2"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38100</xdr:rowOff>
        </xdr:from>
        <xdr:to>
          <xdr:col>13</xdr:col>
          <xdr:colOff>228600</xdr:colOff>
          <xdr:row>0</xdr:row>
          <xdr:rowOff>342900</xdr:rowOff>
        </xdr:to>
        <xdr:sp macro="" textlink="">
          <xdr:nvSpPr>
            <xdr:cNvPr id="7174" name="CommandButton3"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0</xdr:row>
          <xdr:rowOff>38100</xdr:rowOff>
        </xdr:from>
        <xdr:to>
          <xdr:col>14</xdr:col>
          <xdr:colOff>504825</xdr:colOff>
          <xdr:row>0</xdr:row>
          <xdr:rowOff>342900</xdr:rowOff>
        </xdr:to>
        <xdr:sp macro="" textlink="">
          <xdr:nvSpPr>
            <xdr:cNvPr id="7175" name="CommandButton4"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552450</xdr:colOff>
          <xdr:row>0</xdr:row>
          <xdr:rowOff>38100</xdr:rowOff>
        </xdr:from>
        <xdr:to>
          <xdr:col>15</xdr:col>
          <xdr:colOff>781050</xdr:colOff>
          <xdr:row>0</xdr:row>
          <xdr:rowOff>342900</xdr:rowOff>
        </xdr:to>
        <xdr:sp macro="" textlink="">
          <xdr:nvSpPr>
            <xdr:cNvPr id="7176" name="CommandButton5" hidden="1">
              <a:extLst>
                <a:ext uri="{63B3BB69-23CF-44E3-9099-C40C66FF867C}">
                  <a14:compatExt spid="_x0000_s71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38100</xdr:rowOff>
        </xdr:from>
        <xdr:to>
          <xdr:col>10</xdr:col>
          <xdr:colOff>561975</xdr:colOff>
          <xdr:row>0</xdr:row>
          <xdr:rowOff>342900</xdr:rowOff>
        </xdr:to>
        <xdr:sp macro="" textlink="">
          <xdr:nvSpPr>
            <xdr:cNvPr id="7178" name="CommandButton7"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31</xdr:row>
          <xdr:rowOff>104775</xdr:rowOff>
        </xdr:from>
        <xdr:to>
          <xdr:col>0</xdr:col>
          <xdr:colOff>314325</xdr:colOff>
          <xdr:row>32</xdr:row>
          <xdr:rowOff>66675</xdr:rowOff>
        </xdr:to>
        <xdr:sp macro="" textlink="">
          <xdr:nvSpPr>
            <xdr:cNvPr id="19457" name="CommandButton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0</xdr:rowOff>
        </xdr:from>
        <xdr:to>
          <xdr:col>0</xdr:col>
          <xdr:colOff>666750</xdr:colOff>
          <xdr:row>0</xdr:row>
          <xdr:rowOff>180975</xdr:rowOff>
        </xdr:to>
        <xdr:sp macro="" textlink="">
          <xdr:nvSpPr>
            <xdr:cNvPr id="19460" name="CommandButton2" hidden="1">
              <a:extLst>
                <a:ext uri="{63B3BB69-23CF-44E3-9099-C40C66FF867C}">
                  <a14:compatExt spid="_x0000_s1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47625</xdr:colOff>
      <xdr:row>20</xdr:row>
      <xdr:rowOff>152400</xdr:rowOff>
    </xdr:from>
    <xdr:to>
      <xdr:col>9</xdr:col>
      <xdr:colOff>600075</xdr:colOff>
      <xdr:row>33</xdr:row>
      <xdr:rowOff>171450</xdr:rowOff>
    </xdr:to>
    <xdr:graphicFrame macro="">
      <xdr:nvGraphicFramePr>
        <xdr:cNvPr id="3" name="圖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1</xdr:col>
          <xdr:colOff>9525</xdr:colOff>
          <xdr:row>0</xdr:row>
          <xdr:rowOff>352425</xdr:rowOff>
        </xdr:to>
        <xdr:sp macro="" textlink="">
          <xdr:nvSpPr>
            <xdr:cNvPr id="12289" name="ComboBox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0</xdr:row>
          <xdr:rowOff>57150</xdr:rowOff>
        </xdr:from>
        <xdr:to>
          <xdr:col>5</xdr:col>
          <xdr:colOff>1123950</xdr:colOff>
          <xdr:row>0</xdr:row>
          <xdr:rowOff>352425</xdr:rowOff>
        </xdr:to>
        <xdr:sp macro="" textlink="">
          <xdr:nvSpPr>
            <xdr:cNvPr id="12290" name="CommandButton1"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57150</xdr:rowOff>
        </xdr:from>
        <xdr:to>
          <xdr:col>6</xdr:col>
          <xdr:colOff>1133475</xdr:colOff>
          <xdr:row>0</xdr:row>
          <xdr:rowOff>352425</xdr:rowOff>
        </xdr:to>
        <xdr:sp macro="" textlink="">
          <xdr:nvSpPr>
            <xdr:cNvPr id="12291" name="CommandButton2" hidden="1">
              <a:extLst>
                <a:ext uri="{63B3BB69-23CF-44E3-9099-C40C66FF867C}">
                  <a14:compatExt spid="_x0000_s12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57150</xdr:rowOff>
        </xdr:from>
        <xdr:to>
          <xdr:col>9</xdr:col>
          <xdr:colOff>1123950</xdr:colOff>
          <xdr:row>0</xdr:row>
          <xdr:rowOff>352425</xdr:rowOff>
        </xdr:to>
        <xdr:sp macro="" textlink="">
          <xdr:nvSpPr>
            <xdr:cNvPr id="12292" name="CommandButton3" hidden="1">
              <a:extLst>
                <a:ext uri="{63B3BB69-23CF-44E3-9099-C40C66FF867C}">
                  <a14:compatExt spid="_x0000_s12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0</xdr:row>
          <xdr:rowOff>57150</xdr:rowOff>
        </xdr:from>
        <xdr:to>
          <xdr:col>10</xdr:col>
          <xdr:colOff>1162050</xdr:colOff>
          <xdr:row>0</xdr:row>
          <xdr:rowOff>352425</xdr:rowOff>
        </xdr:to>
        <xdr:sp macro="" textlink="">
          <xdr:nvSpPr>
            <xdr:cNvPr id="12293" name="CommandButton4" hidden="1">
              <a:extLst>
                <a:ext uri="{63B3BB69-23CF-44E3-9099-C40C66FF867C}">
                  <a14:compatExt spid="_x0000_s12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1314450</xdr:colOff>
          <xdr:row>0</xdr:row>
          <xdr:rowOff>57150</xdr:rowOff>
        </xdr:from>
        <xdr:to>
          <xdr:col>10</xdr:col>
          <xdr:colOff>2409825</xdr:colOff>
          <xdr:row>0</xdr:row>
          <xdr:rowOff>352425</xdr:rowOff>
        </xdr:to>
        <xdr:sp macro="" textlink="">
          <xdr:nvSpPr>
            <xdr:cNvPr id="12295" name="CommandButton5" hidden="1">
              <a:extLst>
                <a:ext uri="{63B3BB69-23CF-44E3-9099-C40C66FF867C}">
                  <a14:compatExt spid="_x0000_s122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0</xdr:row>
          <xdr:rowOff>76200</xdr:rowOff>
        </xdr:from>
        <xdr:to>
          <xdr:col>4</xdr:col>
          <xdr:colOff>38100</xdr:colOff>
          <xdr:row>2</xdr:row>
          <xdr:rowOff>152400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0</xdr:row>
          <xdr:rowOff>38100</xdr:rowOff>
        </xdr:from>
        <xdr:to>
          <xdr:col>2</xdr:col>
          <xdr:colOff>1276350</xdr:colOff>
          <xdr:row>0</xdr:row>
          <xdr:rowOff>466725</xdr:rowOff>
        </xdr:to>
        <xdr:sp macro="" textlink="">
          <xdr:nvSpPr>
            <xdr:cNvPr id="3075" name="CommandButton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38100</xdr:rowOff>
        </xdr:from>
        <xdr:to>
          <xdr:col>5</xdr:col>
          <xdr:colOff>1276350</xdr:colOff>
          <xdr:row>0</xdr:row>
          <xdr:rowOff>466725</xdr:rowOff>
        </xdr:to>
        <xdr:sp macro="" textlink="">
          <xdr:nvSpPr>
            <xdr:cNvPr id="3077" name="CommandButton4"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0</xdr:row>
          <xdr:rowOff>28575</xdr:rowOff>
        </xdr:from>
        <xdr:to>
          <xdr:col>6</xdr:col>
          <xdr:colOff>1285875</xdr:colOff>
          <xdr:row>0</xdr:row>
          <xdr:rowOff>457200</xdr:rowOff>
        </xdr:to>
        <xdr:sp macro="" textlink="">
          <xdr:nvSpPr>
            <xdr:cNvPr id="3079" name="CommandButton5" hidden="1">
              <a:extLst>
                <a:ext uri="{63B3BB69-23CF-44E3-9099-C40C66FF867C}">
                  <a14:compatExt spid="_x0000_s3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xdr:colOff>
          <xdr:row>0</xdr:row>
          <xdr:rowOff>9525</xdr:rowOff>
        </xdr:from>
        <xdr:to>
          <xdr:col>11</xdr:col>
          <xdr:colOff>742950</xdr:colOff>
          <xdr:row>0</xdr:row>
          <xdr:rowOff>333375</xdr:rowOff>
        </xdr:to>
        <xdr:sp macro="" textlink="">
          <xdr:nvSpPr>
            <xdr:cNvPr id="5121" name="CommandButton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0</xdr:row>
          <xdr:rowOff>19050</xdr:rowOff>
        </xdr:from>
        <xdr:to>
          <xdr:col>12</xdr:col>
          <xdr:colOff>733425</xdr:colOff>
          <xdr:row>0</xdr:row>
          <xdr:rowOff>342900</xdr:rowOff>
        </xdr:to>
        <xdr:sp macro="" textlink="">
          <xdr:nvSpPr>
            <xdr:cNvPr id="5122" name="CommandButton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19050</xdr:rowOff>
        </xdr:from>
        <xdr:to>
          <xdr:col>13</xdr:col>
          <xdr:colOff>809625</xdr:colOff>
          <xdr:row>0</xdr:row>
          <xdr:rowOff>333375</xdr:rowOff>
        </xdr:to>
        <xdr:sp macro="" textlink="">
          <xdr:nvSpPr>
            <xdr:cNvPr id="5123" name="CommandButton3"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國內上市_6" growShrinkType="overwriteClear" adjustColumnWidth="0" connectionId="1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國內上市" growShrinkType="overwriteClear" adjustColumnWidth="0" connectionId="6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外部資料_27" headers="0" growShrinkType="overwriteClear" removeDataOnSave="1" preserveFormatting="0" adjustColumnWidth="0" connectionId="1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外部資料_15" headers="0" growShrinkType="overwriteClear" fillFormulas="1" adjustColumnWidth="0" connectionId="1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外部資料_726" headers="0" growShrinkType="insertClear" fillFormulas="1" connectionId="2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外部資料_725" headers="0" growShrinkType="insertClear" fillFormulas="1" connectionId="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外部資料_724" headers="0" growShrinkType="insertClear" fillFormulas="1" connectionId="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外部資料_729" headers="0" growShrinkType="insertClear" fillFormulas="1" connectionId="5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外部資料_728" headers="0" growShrinkType="insertClear" fillFormulas="1" connectionId="3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外部資料_730" headers="0" growShrinkType="insertClear" fillFormulas="1" connectionId="5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外部資料_580" headers="0" growShrinkType="insertClear" fillFormulas="1" connectionId="6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外部資料_582" headers="0" growShrinkType="insertClear" fillFormulas="1" connectionId="1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外部資料_581" headers="0" growShrinkType="insertClear" fillFormulas="1" connectionId="3"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tdcc.com.tw/smWeb/QryStock.jsp" TargetMode="Externa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2.xml"/><Relationship Id="rId3" Type="http://schemas.openxmlformats.org/officeDocument/2006/relationships/control" Target="../activeX/activeX1.xml"/><Relationship Id="rId7" Type="http://schemas.openxmlformats.org/officeDocument/2006/relationships/queryTable" Target="../queryTables/query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2" Type="http://schemas.openxmlformats.org/officeDocument/2006/relationships/hyperlink" Target="https://tw.stock.yahoo.com/pf/pfsel?stocklist=6213;" TargetMode="External"/><Relationship Id="rId16" Type="http://schemas.openxmlformats.org/officeDocument/2006/relationships/control" Target="../activeX/activeX6.xml"/><Relationship Id="rId29" Type="http://schemas.openxmlformats.org/officeDocument/2006/relationships/image" Target="../media/image12.emf"/><Relationship Id="rId11" Type="http://schemas.openxmlformats.org/officeDocument/2006/relationships/image" Target="../media/image3.emf"/><Relationship Id="rId24" Type="http://schemas.openxmlformats.org/officeDocument/2006/relationships/control" Target="../activeX/activeX10.xml"/><Relationship Id="rId32" Type="http://schemas.openxmlformats.org/officeDocument/2006/relationships/control" Target="../activeX/activeX14.xml"/><Relationship Id="rId37" Type="http://schemas.openxmlformats.org/officeDocument/2006/relationships/image" Target="../media/image16.emf"/><Relationship Id="rId40" Type="http://schemas.openxmlformats.org/officeDocument/2006/relationships/control" Target="../activeX/activeX18.xml"/><Relationship Id="rId45" Type="http://schemas.openxmlformats.org/officeDocument/2006/relationships/image" Target="../media/image20.emf"/><Relationship Id="rId53" Type="http://schemas.openxmlformats.org/officeDocument/2006/relationships/image" Target="../media/image24.emf"/><Relationship Id="rId58" Type="http://schemas.openxmlformats.org/officeDocument/2006/relationships/control" Target="../activeX/activeX27.xml"/><Relationship Id="rId66" Type="http://schemas.openxmlformats.org/officeDocument/2006/relationships/control" Target="../activeX/activeX31.xml"/><Relationship Id="rId74" Type="http://schemas.openxmlformats.org/officeDocument/2006/relationships/queryTable" Target="../queryTables/queryTable3.xml"/><Relationship Id="rId5" Type="http://schemas.openxmlformats.org/officeDocument/2006/relationships/hyperlink" Target="https://tw.rd.yahoo.com/referurl/stock/other/SIG=125v47s73/**https:/tw.screener.finance.yahoo.net/screener/check.html?symid=6213" TargetMode="External"/><Relationship Id="rId61" Type="http://schemas.openxmlformats.org/officeDocument/2006/relationships/image" Target="../media/image28.emf"/><Relationship Id="rId19" Type="http://schemas.openxmlformats.org/officeDocument/2006/relationships/image" Target="../media/image7.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ntrol" Target="../activeX/activeX13.xml"/><Relationship Id="rId35" Type="http://schemas.openxmlformats.org/officeDocument/2006/relationships/image" Target="../media/image15.emf"/><Relationship Id="rId43" Type="http://schemas.openxmlformats.org/officeDocument/2006/relationships/image" Target="../media/image19.emf"/><Relationship Id="rId48" Type="http://schemas.openxmlformats.org/officeDocument/2006/relationships/control" Target="../activeX/activeX22.xml"/><Relationship Id="rId56" Type="http://schemas.openxmlformats.org/officeDocument/2006/relationships/control" Target="../activeX/activeX26.xml"/><Relationship Id="rId64" Type="http://schemas.openxmlformats.org/officeDocument/2006/relationships/control" Target="../activeX/activeX30.xml"/><Relationship Id="rId69" Type="http://schemas.openxmlformats.org/officeDocument/2006/relationships/image" Target="../media/image32.emf"/><Relationship Id="rId8" Type="http://schemas.openxmlformats.org/officeDocument/2006/relationships/drawing" Target="../drawings/drawing2.xml"/><Relationship Id="rId51" Type="http://schemas.openxmlformats.org/officeDocument/2006/relationships/image" Target="../media/image23.emf"/><Relationship Id="rId72" Type="http://schemas.openxmlformats.org/officeDocument/2006/relationships/control" Target="../activeX/activeX34.xml"/><Relationship Id="rId3" Type="http://schemas.openxmlformats.org/officeDocument/2006/relationships/hyperlink" Target="https://tw.stock.yahoo.com/pf/pfsel?stocklist=6213;" TargetMode="External"/><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4.emf"/><Relationship Id="rId38" Type="http://schemas.openxmlformats.org/officeDocument/2006/relationships/control" Target="../activeX/activeX17.xml"/><Relationship Id="rId46" Type="http://schemas.openxmlformats.org/officeDocument/2006/relationships/control" Target="../activeX/activeX21.xml"/><Relationship Id="rId59" Type="http://schemas.openxmlformats.org/officeDocument/2006/relationships/image" Target="../media/image27.emf"/><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54" Type="http://schemas.openxmlformats.org/officeDocument/2006/relationships/control" Target="../activeX/activeX25.xml"/><Relationship Id="rId62" Type="http://schemas.openxmlformats.org/officeDocument/2006/relationships/control" Target="../activeX/activeX29.xml"/><Relationship Id="rId70" Type="http://schemas.openxmlformats.org/officeDocument/2006/relationships/control" Target="../activeX/activeX33.xml"/><Relationship Id="rId75" Type="http://schemas.openxmlformats.org/officeDocument/2006/relationships/queryTable" Target="../queryTables/queryTable4.xml"/><Relationship Id="rId1" Type="http://schemas.openxmlformats.org/officeDocument/2006/relationships/hyperlink" Target="https://tw.stock.yahoo.com/q/bc?s=6213" TargetMode="External"/><Relationship Id="rId6" Type="http://schemas.openxmlformats.org/officeDocument/2006/relationships/hyperlink" Target="javascript:%20CheckP(document.orderform,%20'Z',%20'/fcgi-bin/orderpage.fcg');" TargetMode="Externa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4" Type="http://schemas.openxmlformats.org/officeDocument/2006/relationships/hyperlink" Target="https://tw.stock.yahoo.com/q/ts?s=6213" TargetMode="External"/><Relationship Id="rId9" Type="http://schemas.openxmlformats.org/officeDocument/2006/relationships/vmlDrawing" Target="../drawings/vmlDrawing2.vml"/><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mments" Target="../comments1.xml"/><Relationship Id="rId7" Type="http://schemas.openxmlformats.org/officeDocument/2006/relationships/printerSettings" Target="../printerSettings/printerSettings2.bin"/><Relationship Id="rId71" Type="http://schemas.openxmlformats.org/officeDocument/2006/relationships/image" Target="../media/image33.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39.emf"/><Relationship Id="rId18" Type="http://schemas.openxmlformats.org/officeDocument/2006/relationships/control" Target="../activeX/activeX42.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43.emf"/><Relationship Id="rId7" Type="http://schemas.openxmlformats.org/officeDocument/2006/relationships/image" Target="../media/image36.emf"/><Relationship Id="rId12" Type="http://schemas.openxmlformats.org/officeDocument/2006/relationships/control" Target="../activeX/activeX39.xml"/><Relationship Id="rId17" Type="http://schemas.openxmlformats.org/officeDocument/2006/relationships/image" Target="../media/image41.emf"/><Relationship Id="rId25" Type="http://schemas.openxmlformats.org/officeDocument/2006/relationships/image" Target="../media/image45.emf"/><Relationship Id="rId2" Type="http://schemas.openxmlformats.org/officeDocument/2006/relationships/drawing" Target="../drawings/drawing3.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3.bin"/><Relationship Id="rId6" Type="http://schemas.openxmlformats.org/officeDocument/2006/relationships/control" Target="../activeX/activeX36.xml"/><Relationship Id="rId11" Type="http://schemas.openxmlformats.org/officeDocument/2006/relationships/image" Target="../media/image38.emf"/><Relationship Id="rId24" Type="http://schemas.openxmlformats.org/officeDocument/2006/relationships/control" Target="../activeX/activeX45.xml"/><Relationship Id="rId5" Type="http://schemas.openxmlformats.org/officeDocument/2006/relationships/image" Target="../media/image35.emf"/><Relationship Id="rId15" Type="http://schemas.openxmlformats.org/officeDocument/2006/relationships/image" Target="../media/image40.emf"/><Relationship Id="rId23" Type="http://schemas.openxmlformats.org/officeDocument/2006/relationships/image" Target="../media/image44.emf"/><Relationship Id="rId10" Type="http://schemas.openxmlformats.org/officeDocument/2006/relationships/control" Target="../activeX/activeX38.xml"/><Relationship Id="rId19" Type="http://schemas.openxmlformats.org/officeDocument/2006/relationships/image" Target="../media/image42.emf"/><Relationship Id="rId4" Type="http://schemas.openxmlformats.org/officeDocument/2006/relationships/control" Target="../activeX/activeX35.xml"/><Relationship Id="rId9" Type="http://schemas.openxmlformats.org/officeDocument/2006/relationships/image" Target="../media/image37.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5.xml.rels><?xml version="1.0" encoding="UTF-8" standalone="yes"?>
<Relationships xmlns="http://schemas.openxmlformats.org/package/2006/relationships"><Relationship Id="rId13" Type="http://schemas.openxmlformats.org/officeDocument/2006/relationships/hyperlink" Target="https://tw.stock.yahoo.com/d/s/earning_2474.html" TargetMode="External"/><Relationship Id="rId18" Type="http://schemas.openxmlformats.org/officeDocument/2006/relationships/hyperlink" Target="https://tw.stock.yahoo.com/d/s/earning_3593.html" TargetMode="External"/><Relationship Id="rId26" Type="http://schemas.openxmlformats.org/officeDocument/2006/relationships/drawing" Target="../drawings/drawing4.xml"/><Relationship Id="rId39" Type="http://schemas.openxmlformats.org/officeDocument/2006/relationships/image" Target="../media/image51.emf"/><Relationship Id="rId21" Type="http://schemas.openxmlformats.org/officeDocument/2006/relationships/hyperlink" Target="https://tw.stock.yahoo.com/d/s/earning_4415.html" TargetMode="External"/><Relationship Id="rId34" Type="http://schemas.openxmlformats.org/officeDocument/2006/relationships/control" Target="../activeX/activeX49.xml"/><Relationship Id="rId42" Type="http://schemas.openxmlformats.org/officeDocument/2006/relationships/control" Target="../activeX/activeX53.xml"/><Relationship Id="rId47" Type="http://schemas.openxmlformats.org/officeDocument/2006/relationships/image" Target="../media/image55.emf"/><Relationship Id="rId50" Type="http://schemas.openxmlformats.org/officeDocument/2006/relationships/control" Target="../activeX/activeX57.xml"/><Relationship Id="rId55" Type="http://schemas.openxmlformats.org/officeDocument/2006/relationships/image" Target="../media/image59.emf"/><Relationship Id="rId7" Type="http://schemas.openxmlformats.org/officeDocument/2006/relationships/hyperlink" Target="https://tw.stock.yahoo.com/d/s/earning_1256.html" TargetMode="External"/><Relationship Id="rId2" Type="http://schemas.openxmlformats.org/officeDocument/2006/relationships/hyperlink" Target="https://tw.stock.yahoo.com/d/s/earning_2433.html" TargetMode="External"/><Relationship Id="rId16" Type="http://schemas.openxmlformats.org/officeDocument/2006/relationships/hyperlink" Target="https://tw.stock.yahoo.com/d/s/earning_3294.html" TargetMode="External"/><Relationship Id="rId29" Type="http://schemas.openxmlformats.org/officeDocument/2006/relationships/image" Target="../media/image46.emf"/><Relationship Id="rId11" Type="http://schemas.openxmlformats.org/officeDocument/2006/relationships/hyperlink" Target="https://tw.stock.yahoo.com/d/s/earning_2433.html" TargetMode="External"/><Relationship Id="rId24" Type="http://schemas.openxmlformats.org/officeDocument/2006/relationships/hyperlink" Target="https://tw.stock.yahoo.com/d/s/earning_9910.html" TargetMode="External"/><Relationship Id="rId32" Type="http://schemas.openxmlformats.org/officeDocument/2006/relationships/control" Target="../activeX/activeX48.xml"/><Relationship Id="rId37" Type="http://schemas.openxmlformats.org/officeDocument/2006/relationships/image" Target="../media/image50.emf"/><Relationship Id="rId40" Type="http://schemas.openxmlformats.org/officeDocument/2006/relationships/control" Target="../activeX/activeX52.xml"/><Relationship Id="rId45" Type="http://schemas.openxmlformats.org/officeDocument/2006/relationships/image" Target="../media/image54.emf"/><Relationship Id="rId53" Type="http://schemas.openxmlformats.org/officeDocument/2006/relationships/image" Target="../media/image58.emf"/><Relationship Id="rId5" Type="http://schemas.openxmlformats.org/officeDocument/2006/relationships/hyperlink" Target="https://tw.stock.yahoo.com/d/s/earning_3205.html" TargetMode="External"/><Relationship Id="rId10" Type="http://schemas.openxmlformats.org/officeDocument/2006/relationships/hyperlink" Target="https://tw.stock.yahoo.com/d/s/earning_2406.html" TargetMode="External"/><Relationship Id="rId19" Type="http://schemas.openxmlformats.org/officeDocument/2006/relationships/hyperlink" Target="https://tw.stock.yahoo.com/d/s/earning_3691.html" TargetMode="External"/><Relationship Id="rId31" Type="http://schemas.openxmlformats.org/officeDocument/2006/relationships/image" Target="../media/image47.emf"/><Relationship Id="rId44" Type="http://schemas.openxmlformats.org/officeDocument/2006/relationships/control" Target="../activeX/activeX54.xml"/><Relationship Id="rId52" Type="http://schemas.openxmlformats.org/officeDocument/2006/relationships/control" Target="../activeX/activeX58.xml"/><Relationship Id="rId4" Type="http://schemas.openxmlformats.org/officeDocument/2006/relationships/hyperlink" Target="https://tw.stock.yahoo.com/d/s/earning_3163.html" TargetMode="External"/><Relationship Id="rId9" Type="http://schemas.openxmlformats.org/officeDocument/2006/relationships/hyperlink" Target="https://tw.stock.yahoo.com/d/s/earning_2383.html" TargetMode="External"/><Relationship Id="rId14" Type="http://schemas.openxmlformats.org/officeDocument/2006/relationships/hyperlink" Target="https://tw.stock.yahoo.com/d/s/earning_3152.html" TargetMode="External"/><Relationship Id="rId22" Type="http://schemas.openxmlformats.org/officeDocument/2006/relationships/hyperlink" Target="https://tw.stock.yahoo.com/d/s/earning_8016.html" TargetMode="External"/><Relationship Id="rId27" Type="http://schemas.openxmlformats.org/officeDocument/2006/relationships/vmlDrawing" Target="../drawings/vmlDrawing4.vml"/><Relationship Id="rId30" Type="http://schemas.openxmlformats.org/officeDocument/2006/relationships/control" Target="../activeX/activeX47.xml"/><Relationship Id="rId35" Type="http://schemas.openxmlformats.org/officeDocument/2006/relationships/image" Target="../media/image49.emf"/><Relationship Id="rId43" Type="http://schemas.openxmlformats.org/officeDocument/2006/relationships/image" Target="../media/image53.emf"/><Relationship Id="rId48" Type="http://schemas.openxmlformats.org/officeDocument/2006/relationships/control" Target="../activeX/activeX56.xml"/><Relationship Id="rId8" Type="http://schemas.openxmlformats.org/officeDocument/2006/relationships/hyperlink" Target="https://tw.stock.yahoo.com/d/s/earning_2313.html" TargetMode="External"/><Relationship Id="rId51" Type="http://schemas.openxmlformats.org/officeDocument/2006/relationships/image" Target="../media/image57.emf"/><Relationship Id="rId3" Type="http://schemas.openxmlformats.org/officeDocument/2006/relationships/hyperlink" Target="https://tw.stock.yahoo.com/d/s/earning_3152.html" TargetMode="External"/><Relationship Id="rId12" Type="http://schemas.openxmlformats.org/officeDocument/2006/relationships/hyperlink" Target="https://tw.stock.yahoo.com/d/s/earning_2438.html" TargetMode="External"/><Relationship Id="rId17" Type="http://schemas.openxmlformats.org/officeDocument/2006/relationships/hyperlink" Target="https://tw.stock.yahoo.com/d/s/earning_3373.html" TargetMode="External"/><Relationship Id="rId25" Type="http://schemas.openxmlformats.org/officeDocument/2006/relationships/printerSettings" Target="../printerSettings/printerSettings4.bin"/><Relationship Id="rId33" Type="http://schemas.openxmlformats.org/officeDocument/2006/relationships/image" Target="../media/image48.emf"/><Relationship Id="rId38" Type="http://schemas.openxmlformats.org/officeDocument/2006/relationships/control" Target="../activeX/activeX51.xml"/><Relationship Id="rId46" Type="http://schemas.openxmlformats.org/officeDocument/2006/relationships/control" Target="../activeX/activeX55.xml"/><Relationship Id="rId20" Type="http://schemas.openxmlformats.org/officeDocument/2006/relationships/hyperlink" Target="https://tw.stock.yahoo.com/d/s/earning_4123.html" TargetMode="External"/><Relationship Id="rId41" Type="http://schemas.openxmlformats.org/officeDocument/2006/relationships/image" Target="../media/image52.emf"/><Relationship Id="rId54" Type="http://schemas.openxmlformats.org/officeDocument/2006/relationships/control" Target="../activeX/activeX59.xml"/><Relationship Id="rId1" Type="http://schemas.openxmlformats.org/officeDocument/2006/relationships/hyperlink" Target="https://tw.stock.yahoo.com/d/s/earning_1729.html" TargetMode="External"/><Relationship Id="rId6" Type="http://schemas.openxmlformats.org/officeDocument/2006/relationships/hyperlink" Target="https://tw.stock.yahoo.com/d/s/earning_3206.html" TargetMode="External"/><Relationship Id="rId15" Type="http://schemas.openxmlformats.org/officeDocument/2006/relationships/hyperlink" Target="https://tw.stock.yahoo.com/d/s/earning_3234.html" TargetMode="External"/><Relationship Id="rId23" Type="http://schemas.openxmlformats.org/officeDocument/2006/relationships/hyperlink" Target="https://tw.stock.yahoo.com/d/s/earning_8436.html" TargetMode="External"/><Relationship Id="rId28" Type="http://schemas.openxmlformats.org/officeDocument/2006/relationships/control" Target="../activeX/activeX46.xml"/><Relationship Id="rId36" Type="http://schemas.openxmlformats.org/officeDocument/2006/relationships/control" Target="../activeX/activeX50.xml"/><Relationship Id="rId49" Type="http://schemas.openxmlformats.org/officeDocument/2006/relationships/image" Target="../media/image56.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2.xml"/><Relationship Id="rId13" Type="http://schemas.openxmlformats.org/officeDocument/2006/relationships/image" Target="../media/image64.emf"/><Relationship Id="rId18" Type="http://schemas.openxmlformats.org/officeDocument/2006/relationships/control" Target="../activeX/activeX67.xml"/><Relationship Id="rId3" Type="http://schemas.openxmlformats.org/officeDocument/2006/relationships/vmlDrawing" Target="../drawings/vmlDrawing5.vml"/><Relationship Id="rId21" Type="http://schemas.openxmlformats.org/officeDocument/2006/relationships/image" Target="../media/image68.emf"/><Relationship Id="rId7" Type="http://schemas.openxmlformats.org/officeDocument/2006/relationships/image" Target="../media/image61.emf"/><Relationship Id="rId12" Type="http://schemas.openxmlformats.org/officeDocument/2006/relationships/control" Target="../activeX/activeX64.xml"/><Relationship Id="rId17" Type="http://schemas.openxmlformats.org/officeDocument/2006/relationships/image" Target="../media/image66.emf"/><Relationship Id="rId2" Type="http://schemas.openxmlformats.org/officeDocument/2006/relationships/drawing" Target="../drawings/drawing5.xml"/><Relationship Id="rId16" Type="http://schemas.openxmlformats.org/officeDocument/2006/relationships/control" Target="../activeX/activeX66.xml"/><Relationship Id="rId20" Type="http://schemas.openxmlformats.org/officeDocument/2006/relationships/control" Target="../activeX/activeX68.xml"/><Relationship Id="rId1" Type="http://schemas.openxmlformats.org/officeDocument/2006/relationships/printerSettings" Target="../printerSettings/printerSettings5.bin"/><Relationship Id="rId6" Type="http://schemas.openxmlformats.org/officeDocument/2006/relationships/control" Target="../activeX/activeX61.xml"/><Relationship Id="rId11" Type="http://schemas.openxmlformats.org/officeDocument/2006/relationships/image" Target="../media/image63.emf"/><Relationship Id="rId5" Type="http://schemas.openxmlformats.org/officeDocument/2006/relationships/image" Target="../media/image60.emf"/><Relationship Id="rId15" Type="http://schemas.openxmlformats.org/officeDocument/2006/relationships/image" Target="../media/image65.emf"/><Relationship Id="rId10" Type="http://schemas.openxmlformats.org/officeDocument/2006/relationships/control" Target="../activeX/activeX63.xml"/><Relationship Id="rId19" Type="http://schemas.openxmlformats.org/officeDocument/2006/relationships/image" Target="../media/image67.emf"/><Relationship Id="rId4" Type="http://schemas.openxmlformats.org/officeDocument/2006/relationships/control" Target="../activeX/activeX60.xml"/><Relationship Id="rId9" Type="http://schemas.openxmlformats.org/officeDocument/2006/relationships/image" Target="../media/image62.emf"/><Relationship Id="rId14" Type="http://schemas.openxmlformats.org/officeDocument/2006/relationships/control" Target="../activeX/activeX6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3.xml"/><Relationship Id="rId2" Type="http://schemas.openxmlformats.org/officeDocument/2006/relationships/queryTable" Target="../queryTables/queryTable12.xml"/><Relationship Id="rId1" Type="http://schemas.openxmlformats.org/officeDocument/2006/relationships/queryTable" Target="../queryTables/queryTable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70.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70.xml"/><Relationship Id="rId5" Type="http://schemas.openxmlformats.org/officeDocument/2006/relationships/image" Target="../media/image69.emf"/><Relationship Id="rId4" Type="http://schemas.openxmlformats.org/officeDocument/2006/relationships/control" Target="../activeX/activeX69.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73.xml"/><Relationship Id="rId13" Type="http://schemas.openxmlformats.org/officeDocument/2006/relationships/image" Target="../media/image75.emf"/><Relationship Id="rId3" Type="http://schemas.openxmlformats.org/officeDocument/2006/relationships/vmlDrawing" Target="../drawings/vmlDrawing7.vml"/><Relationship Id="rId7" Type="http://schemas.openxmlformats.org/officeDocument/2006/relationships/image" Target="../media/image72.emf"/><Relationship Id="rId12" Type="http://schemas.openxmlformats.org/officeDocument/2006/relationships/control" Target="../activeX/activeX7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72.xml"/><Relationship Id="rId11" Type="http://schemas.openxmlformats.org/officeDocument/2006/relationships/image" Target="../media/image74.emf"/><Relationship Id="rId5" Type="http://schemas.openxmlformats.org/officeDocument/2006/relationships/image" Target="../media/image71.emf"/><Relationship Id="rId15" Type="http://schemas.openxmlformats.org/officeDocument/2006/relationships/image" Target="../media/image76.emf"/><Relationship Id="rId10" Type="http://schemas.openxmlformats.org/officeDocument/2006/relationships/control" Target="../activeX/activeX74.xml"/><Relationship Id="rId4" Type="http://schemas.openxmlformats.org/officeDocument/2006/relationships/control" Target="../activeX/activeX71.xml"/><Relationship Id="rId9" Type="http://schemas.openxmlformats.org/officeDocument/2006/relationships/image" Target="../media/image73.emf"/><Relationship Id="rId14" Type="http://schemas.openxmlformats.org/officeDocument/2006/relationships/control" Target="../activeX/activeX76.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77.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9.vml"/><Relationship Id="rId7" Type="http://schemas.openxmlformats.org/officeDocument/2006/relationships/image" Target="../media/image79.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79.xml"/><Relationship Id="rId5" Type="http://schemas.openxmlformats.org/officeDocument/2006/relationships/image" Target="../media/image78.emf"/><Relationship Id="rId4" Type="http://schemas.openxmlformats.org/officeDocument/2006/relationships/control" Target="../activeX/activeX78.xml"/><Relationship Id="rId9" Type="http://schemas.openxmlformats.org/officeDocument/2006/relationships/image" Target="../media/image80.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3.xml"/><Relationship Id="rId3" Type="http://schemas.openxmlformats.org/officeDocument/2006/relationships/vmlDrawing" Target="../drawings/vmlDrawing10.vml"/><Relationship Id="rId7" Type="http://schemas.openxmlformats.org/officeDocument/2006/relationships/image" Target="../media/image82.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82.xml"/><Relationship Id="rId5" Type="http://schemas.openxmlformats.org/officeDocument/2006/relationships/image" Target="../media/image81.emf"/><Relationship Id="rId4" Type="http://schemas.openxmlformats.org/officeDocument/2006/relationships/control" Target="../activeX/activeX81.xml"/><Relationship Id="rId9" Type="http://schemas.openxmlformats.org/officeDocument/2006/relationships/image" Target="../media/image8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設定"/>
  <dimension ref="A1:D11"/>
  <sheetViews>
    <sheetView zoomScale="90" zoomScaleNormal="90" workbookViewId="0">
      <pane xSplit="3" ySplit="1" topLeftCell="D2" activePane="bottomRight" state="frozen"/>
      <selection pane="topRight" activeCell="D1" sqref="D1"/>
      <selection pane="bottomLeft" activeCell="A2" sqref="A2"/>
      <selection pane="bottomRight" activeCell="C40" sqref="C40"/>
    </sheetView>
  </sheetViews>
  <sheetFormatPr defaultColWidth="9" defaultRowHeight="16.5"/>
  <cols>
    <col min="1" max="1" width="19.25" style="57" customWidth="1"/>
    <col min="2" max="2" width="9" style="57"/>
    <col min="3" max="3" width="9.5" style="57" bestFit="1" customWidth="1"/>
    <col min="4" max="16384" width="9" style="57"/>
  </cols>
  <sheetData>
    <row r="1" spans="1:4">
      <c r="A1" s="64" t="s">
        <v>234</v>
      </c>
      <c r="B1" s="64" t="s">
        <v>176</v>
      </c>
      <c r="C1" s="64">
        <v>20151016</v>
      </c>
      <c r="D1" s="59" t="s">
        <v>179</v>
      </c>
    </row>
    <row r="2" spans="1:4">
      <c r="A2" s="64" t="s">
        <v>233</v>
      </c>
      <c r="B2" s="64" t="s">
        <v>175</v>
      </c>
      <c r="C2" s="64">
        <v>20151002</v>
      </c>
    </row>
    <row r="3" spans="1:4">
      <c r="A3" s="64" t="s">
        <v>232</v>
      </c>
      <c r="B3" s="64" t="s">
        <v>174</v>
      </c>
      <c r="C3" s="64">
        <v>20150918</v>
      </c>
      <c r="D3" s="58"/>
    </row>
    <row r="4" spans="1:4">
      <c r="A4" s="64" t="s">
        <v>235</v>
      </c>
      <c r="B4" s="64" t="s">
        <v>177</v>
      </c>
      <c r="C4" s="65">
        <v>2.3300000000000001E-2</v>
      </c>
    </row>
    <row r="5" spans="1:4">
      <c r="A5" s="66" t="s">
        <v>236</v>
      </c>
      <c r="B5" s="66" t="s">
        <v>174</v>
      </c>
      <c r="C5" s="66">
        <f>C1</f>
        <v>20151016</v>
      </c>
      <c r="D5" s="58"/>
    </row>
    <row r="6" spans="1:4">
      <c r="A6" s="66" t="s">
        <v>237</v>
      </c>
      <c r="B6" s="66" t="s">
        <v>175</v>
      </c>
      <c r="C6" s="66">
        <v>20151008</v>
      </c>
    </row>
    <row r="7" spans="1:4">
      <c r="A7" s="66" t="s">
        <v>238</v>
      </c>
      <c r="B7" s="66" t="s">
        <v>176</v>
      </c>
      <c r="C7" s="66">
        <f>C2</f>
        <v>20151002</v>
      </c>
    </row>
    <row r="8" spans="1:4">
      <c r="A8" s="66" t="s">
        <v>239</v>
      </c>
      <c r="B8" s="66"/>
      <c r="C8" s="67">
        <v>0.02</v>
      </c>
    </row>
    <row r="9" spans="1:4">
      <c r="A9" s="84" t="s">
        <v>178</v>
      </c>
      <c r="B9" s="84"/>
      <c r="C9" s="84">
        <v>24</v>
      </c>
      <c r="D9" s="57" t="s">
        <v>273</v>
      </c>
    </row>
    <row r="10" spans="1:4">
      <c r="A10" s="84" t="s">
        <v>256</v>
      </c>
      <c r="B10" s="84"/>
      <c r="C10" s="84"/>
    </row>
    <row r="11" spans="1:4">
      <c r="A11" s="84" t="s">
        <v>257</v>
      </c>
      <c r="B11" s="84"/>
      <c r="C11" s="84"/>
    </row>
  </sheetData>
  <phoneticPr fontId="2" type="noConversion"/>
  <hyperlinks>
    <hyperlink ref="D1"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C1591"/>
  <sheetViews>
    <sheetView workbookViewId="0">
      <pane xSplit="2" ySplit="1" topLeftCell="C2" activePane="bottomRight" state="frozen"/>
      <selection pane="topRight" activeCell="D1" sqref="D1"/>
      <selection pane="bottomLeft" activeCell="A2" sqref="A2"/>
      <selection pane="bottomRight" activeCell="K22" sqref="K22"/>
    </sheetView>
  </sheetViews>
  <sheetFormatPr defaultRowHeight="16.5"/>
  <cols>
    <col min="1" max="2" width="13.875" customWidth="1"/>
  </cols>
  <sheetData>
    <row r="1" spans="1:3" ht="32.25" customHeight="1">
      <c r="A1" s="107">
        <v>42299</v>
      </c>
    </row>
    <row r="2" spans="1:3">
      <c r="A2" t="s">
        <v>297</v>
      </c>
      <c r="B2" t="s">
        <v>298</v>
      </c>
      <c r="C2" t="s">
        <v>299</v>
      </c>
    </row>
    <row r="3" spans="1:3">
      <c r="A3">
        <v>1101</v>
      </c>
      <c r="B3" t="s">
        <v>1150</v>
      </c>
      <c r="C3">
        <v>36.5</v>
      </c>
    </row>
    <row r="4" spans="1:3">
      <c r="A4">
        <v>1102</v>
      </c>
      <c r="B4" t="s">
        <v>1151</v>
      </c>
      <c r="C4">
        <v>34.35</v>
      </c>
    </row>
    <row r="5" spans="1:3">
      <c r="A5">
        <v>1103</v>
      </c>
      <c r="B5" t="s">
        <v>1152</v>
      </c>
      <c r="C5">
        <v>10.75</v>
      </c>
    </row>
    <row r="6" spans="1:3">
      <c r="A6">
        <v>1104</v>
      </c>
      <c r="B6" t="s">
        <v>1153</v>
      </c>
      <c r="C6">
        <v>22.7</v>
      </c>
    </row>
    <row r="7" spans="1:3">
      <c r="A7">
        <v>1108</v>
      </c>
      <c r="B7" t="s">
        <v>1154</v>
      </c>
      <c r="C7">
        <v>10.3</v>
      </c>
    </row>
    <row r="8" spans="1:3">
      <c r="A8">
        <v>1110</v>
      </c>
      <c r="B8" t="s">
        <v>1155</v>
      </c>
      <c r="C8">
        <v>15.7</v>
      </c>
    </row>
    <row r="9" spans="1:3">
      <c r="A9">
        <v>1201</v>
      </c>
      <c r="B9" t="s">
        <v>1156</v>
      </c>
      <c r="C9">
        <v>20.3</v>
      </c>
    </row>
    <row r="10" spans="1:3">
      <c r="A10">
        <v>1203</v>
      </c>
      <c r="B10" t="s">
        <v>1157</v>
      </c>
      <c r="C10">
        <v>21.15</v>
      </c>
    </row>
    <row r="11" spans="1:3">
      <c r="A11">
        <v>1210</v>
      </c>
      <c r="B11" t="s">
        <v>1158</v>
      </c>
      <c r="C11">
        <v>20.100000000000001</v>
      </c>
    </row>
    <row r="12" spans="1:3">
      <c r="A12">
        <v>1213</v>
      </c>
      <c r="B12" t="s">
        <v>1159</v>
      </c>
      <c r="C12">
        <v>15.7</v>
      </c>
    </row>
    <row r="13" spans="1:3">
      <c r="A13">
        <v>1215</v>
      </c>
      <c r="B13" t="s">
        <v>1160</v>
      </c>
      <c r="C13">
        <v>22</v>
      </c>
    </row>
    <row r="14" spans="1:3">
      <c r="A14">
        <v>1216</v>
      </c>
      <c r="B14" t="s">
        <v>1161</v>
      </c>
      <c r="C14">
        <v>56.9</v>
      </c>
    </row>
    <row r="15" spans="1:3">
      <c r="A15">
        <v>1217</v>
      </c>
      <c r="B15" t="s">
        <v>1162</v>
      </c>
      <c r="C15">
        <v>6.94</v>
      </c>
    </row>
    <row r="16" spans="1:3">
      <c r="A16">
        <v>1218</v>
      </c>
      <c r="B16" t="s">
        <v>1163</v>
      </c>
      <c r="C16">
        <v>10.3</v>
      </c>
    </row>
    <row r="17" spans="1:3">
      <c r="A17">
        <v>1219</v>
      </c>
      <c r="B17" t="s">
        <v>1164</v>
      </c>
      <c r="C17">
        <v>14.9</v>
      </c>
    </row>
    <row r="18" spans="1:3">
      <c r="A18">
        <v>1220</v>
      </c>
      <c r="B18" t="s">
        <v>1165</v>
      </c>
      <c r="C18">
        <v>9.7799999999999994</v>
      </c>
    </row>
    <row r="19" spans="1:3">
      <c r="A19">
        <v>1225</v>
      </c>
      <c r="B19" t="s">
        <v>1166</v>
      </c>
      <c r="C19">
        <v>23.1</v>
      </c>
    </row>
    <row r="20" spans="1:3">
      <c r="A20">
        <v>1227</v>
      </c>
      <c r="B20" t="s">
        <v>1167</v>
      </c>
      <c r="C20">
        <v>77.599999999999994</v>
      </c>
    </row>
    <row r="21" spans="1:3">
      <c r="A21">
        <v>1229</v>
      </c>
      <c r="B21" t="s">
        <v>1168</v>
      </c>
      <c r="C21">
        <v>19.75</v>
      </c>
    </row>
    <row r="22" spans="1:3">
      <c r="A22">
        <v>1231</v>
      </c>
      <c r="B22" t="s">
        <v>1169</v>
      </c>
      <c r="C22">
        <v>27.9</v>
      </c>
    </row>
    <row r="23" spans="1:3">
      <c r="A23">
        <v>1232</v>
      </c>
      <c r="B23" t="s">
        <v>1170</v>
      </c>
      <c r="C23">
        <v>73.5</v>
      </c>
    </row>
    <row r="24" spans="1:3">
      <c r="A24">
        <v>1233</v>
      </c>
      <c r="B24" t="s">
        <v>1171</v>
      </c>
      <c r="C24">
        <v>39</v>
      </c>
    </row>
    <row r="25" spans="1:3">
      <c r="A25">
        <v>1234</v>
      </c>
      <c r="B25" t="s">
        <v>1172</v>
      </c>
      <c r="C25">
        <v>32.200000000000003</v>
      </c>
    </row>
    <row r="26" spans="1:3">
      <c r="A26">
        <v>1235</v>
      </c>
      <c r="B26" t="s">
        <v>1173</v>
      </c>
      <c r="C26">
        <v>18.2</v>
      </c>
    </row>
    <row r="27" spans="1:3">
      <c r="A27">
        <v>1236</v>
      </c>
      <c r="B27" t="s">
        <v>1174</v>
      </c>
      <c r="C27">
        <v>21.65</v>
      </c>
    </row>
    <row r="28" spans="1:3">
      <c r="A28">
        <v>1262</v>
      </c>
      <c r="B28" t="s">
        <v>1175</v>
      </c>
      <c r="C28">
        <v>123.5</v>
      </c>
    </row>
    <row r="29" spans="1:3">
      <c r="A29">
        <v>1301</v>
      </c>
      <c r="B29" t="s">
        <v>1176</v>
      </c>
      <c r="C29">
        <v>75.099999999999994</v>
      </c>
    </row>
    <row r="30" spans="1:3">
      <c r="A30">
        <v>1303</v>
      </c>
      <c r="B30" t="s">
        <v>1177</v>
      </c>
      <c r="C30">
        <v>65.400000000000006</v>
      </c>
    </row>
    <row r="31" spans="1:3">
      <c r="A31">
        <v>1304</v>
      </c>
      <c r="B31" t="s">
        <v>1178</v>
      </c>
      <c r="C31">
        <v>13.35</v>
      </c>
    </row>
    <row r="32" spans="1:3">
      <c r="A32">
        <v>1305</v>
      </c>
      <c r="B32" t="s">
        <v>1179</v>
      </c>
      <c r="C32">
        <v>14.2</v>
      </c>
    </row>
    <row r="33" spans="1:3">
      <c r="A33">
        <v>1307</v>
      </c>
      <c r="B33" t="s">
        <v>1180</v>
      </c>
      <c r="C33">
        <v>43.2</v>
      </c>
    </row>
    <row r="34" spans="1:3">
      <c r="A34">
        <v>1308</v>
      </c>
      <c r="B34" t="s">
        <v>1181</v>
      </c>
      <c r="C34">
        <v>18.55</v>
      </c>
    </row>
    <row r="35" spans="1:3">
      <c r="A35">
        <v>1309</v>
      </c>
      <c r="B35" t="s">
        <v>1182</v>
      </c>
      <c r="C35">
        <v>9.1</v>
      </c>
    </row>
    <row r="36" spans="1:3">
      <c r="A36">
        <v>1310</v>
      </c>
      <c r="B36" t="s">
        <v>1183</v>
      </c>
      <c r="C36">
        <v>14</v>
      </c>
    </row>
    <row r="37" spans="1:3">
      <c r="A37">
        <v>1312</v>
      </c>
      <c r="B37" t="s">
        <v>1184</v>
      </c>
      <c r="C37">
        <v>15.55</v>
      </c>
    </row>
    <row r="38" spans="1:3">
      <c r="A38" t="s">
        <v>300</v>
      </c>
      <c r="B38" t="s">
        <v>1185</v>
      </c>
      <c r="C38">
        <v>21.85</v>
      </c>
    </row>
    <row r="39" spans="1:3">
      <c r="A39">
        <v>1313</v>
      </c>
      <c r="B39" t="s">
        <v>1186</v>
      </c>
      <c r="C39">
        <v>9.89</v>
      </c>
    </row>
    <row r="40" spans="1:3">
      <c r="A40">
        <v>1314</v>
      </c>
      <c r="B40" t="s">
        <v>1187</v>
      </c>
      <c r="C40">
        <v>8.91</v>
      </c>
    </row>
    <row r="41" spans="1:3">
      <c r="A41">
        <v>1315</v>
      </c>
      <c r="B41" t="s">
        <v>1188</v>
      </c>
      <c r="C41">
        <v>23.2</v>
      </c>
    </row>
    <row r="42" spans="1:3">
      <c r="A42">
        <v>1316</v>
      </c>
      <c r="B42" t="s">
        <v>1189</v>
      </c>
      <c r="C42">
        <v>10.050000000000001</v>
      </c>
    </row>
    <row r="43" spans="1:3">
      <c r="A43">
        <v>1319</v>
      </c>
      <c r="B43" t="s">
        <v>1190</v>
      </c>
      <c r="C43">
        <v>35.6</v>
      </c>
    </row>
    <row r="44" spans="1:3">
      <c r="A44">
        <v>1321</v>
      </c>
      <c r="B44" t="s">
        <v>1191</v>
      </c>
      <c r="C44">
        <v>28.9</v>
      </c>
    </row>
    <row r="45" spans="1:3">
      <c r="A45">
        <v>1323</v>
      </c>
      <c r="B45" t="s">
        <v>1192</v>
      </c>
      <c r="C45">
        <v>26.65</v>
      </c>
    </row>
    <row r="46" spans="1:3">
      <c r="A46">
        <v>1324</v>
      </c>
      <c r="B46" t="s">
        <v>1193</v>
      </c>
      <c r="C46">
        <v>11.75</v>
      </c>
    </row>
    <row r="47" spans="1:3">
      <c r="A47">
        <v>1325</v>
      </c>
      <c r="B47" t="s">
        <v>1194</v>
      </c>
      <c r="C47">
        <v>20.149999999999999</v>
      </c>
    </row>
    <row r="48" spans="1:3">
      <c r="A48">
        <v>1326</v>
      </c>
      <c r="B48" t="s">
        <v>1195</v>
      </c>
      <c r="C48">
        <v>74.400000000000006</v>
      </c>
    </row>
    <row r="49" spans="1:3">
      <c r="A49">
        <v>1337</v>
      </c>
      <c r="B49" t="s">
        <v>1196</v>
      </c>
      <c r="C49">
        <v>22.05</v>
      </c>
    </row>
    <row r="50" spans="1:3">
      <c r="A50">
        <v>1338</v>
      </c>
      <c r="B50" t="s">
        <v>1197</v>
      </c>
      <c r="C50">
        <v>114.5</v>
      </c>
    </row>
    <row r="51" spans="1:3">
      <c r="A51">
        <v>1339</v>
      </c>
      <c r="B51" t="s">
        <v>1198</v>
      </c>
      <c r="C51">
        <v>57.6</v>
      </c>
    </row>
    <row r="52" spans="1:3">
      <c r="A52">
        <v>1340</v>
      </c>
      <c r="B52" t="s">
        <v>1199</v>
      </c>
      <c r="C52">
        <v>76</v>
      </c>
    </row>
    <row r="53" spans="1:3">
      <c r="A53">
        <v>1402</v>
      </c>
      <c r="B53" t="s">
        <v>1200</v>
      </c>
      <c r="C53">
        <v>30.05</v>
      </c>
    </row>
    <row r="54" spans="1:3">
      <c r="A54">
        <v>1409</v>
      </c>
      <c r="B54" t="s">
        <v>1201</v>
      </c>
      <c r="C54">
        <v>9.1300000000000008</v>
      </c>
    </row>
    <row r="55" spans="1:3">
      <c r="A55">
        <v>1410</v>
      </c>
      <c r="B55" t="s">
        <v>1202</v>
      </c>
      <c r="C55">
        <v>23.9</v>
      </c>
    </row>
    <row r="56" spans="1:3">
      <c r="A56">
        <v>1413</v>
      </c>
      <c r="B56" t="s">
        <v>1203</v>
      </c>
      <c r="C56">
        <v>8.99</v>
      </c>
    </row>
    <row r="57" spans="1:3">
      <c r="A57">
        <v>1414</v>
      </c>
      <c r="B57" t="s">
        <v>1204</v>
      </c>
      <c r="C57">
        <v>6.9</v>
      </c>
    </row>
    <row r="58" spans="1:3">
      <c r="A58">
        <v>1416</v>
      </c>
      <c r="B58" t="s">
        <v>1205</v>
      </c>
      <c r="C58">
        <v>17.649999999999999</v>
      </c>
    </row>
    <row r="59" spans="1:3">
      <c r="A59">
        <v>1417</v>
      </c>
      <c r="B59" t="s">
        <v>1206</v>
      </c>
      <c r="C59">
        <v>6.11</v>
      </c>
    </row>
    <row r="60" spans="1:3">
      <c r="A60">
        <v>1418</v>
      </c>
      <c r="B60" t="s">
        <v>1207</v>
      </c>
      <c r="C60">
        <v>5.2</v>
      </c>
    </row>
    <row r="61" spans="1:3">
      <c r="A61">
        <v>1419</v>
      </c>
      <c r="B61" t="s">
        <v>1208</v>
      </c>
      <c r="C61">
        <v>38.799999999999997</v>
      </c>
    </row>
    <row r="62" spans="1:3">
      <c r="A62">
        <v>1423</v>
      </c>
      <c r="B62" t="s">
        <v>1209</v>
      </c>
      <c r="C62">
        <v>7.19</v>
      </c>
    </row>
    <row r="63" spans="1:3">
      <c r="A63">
        <v>1432</v>
      </c>
      <c r="B63" t="s">
        <v>1210</v>
      </c>
      <c r="C63">
        <v>20.75</v>
      </c>
    </row>
    <row r="64" spans="1:3">
      <c r="A64">
        <v>1434</v>
      </c>
      <c r="B64" t="s">
        <v>1211</v>
      </c>
      <c r="C64">
        <v>31.85</v>
      </c>
    </row>
    <row r="65" spans="1:3">
      <c r="A65">
        <v>1435</v>
      </c>
      <c r="B65" t="s">
        <v>1212</v>
      </c>
      <c r="C65">
        <v>5.03</v>
      </c>
    </row>
    <row r="66" spans="1:3">
      <c r="A66">
        <v>1436</v>
      </c>
      <c r="B66" t="s">
        <v>1213</v>
      </c>
      <c r="C66">
        <v>39.799999999999997</v>
      </c>
    </row>
    <row r="67" spans="1:3">
      <c r="A67">
        <v>1437</v>
      </c>
      <c r="B67" t="s">
        <v>1214</v>
      </c>
      <c r="C67">
        <v>11.75</v>
      </c>
    </row>
    <row r="68" spans="1:3">
      <c r="A68">
        <v>1438</v>
      </c>
      <c r="B68" t="s">
        <v>1215</v>
      </c>
      <c r="C68">
        <v>4.97</v>
      </c>
    </row>
    <row r="69" spans="1:3">
      <c r="A69">
        <v>1439</v>
      </c>
      <c r="B69" t="s">
        <v>1216</v>
      </c>
      <c r="C69">
        <v>13.15</v>
      </c>
    </row>
    <row r="70" spans="1:3">
      <c r="A70">
        <v>1440</v>
      </c>
      <c r="B70" t="s">
        <v>1217</v>
      </c>
      <c r="C70">
        <v>15.9</v>
      </c>
    </row>
    <row r="71" spans="1:3">
      <c r="A71">
        <v>1441</v>
      </c>
      <c r="B71" t="s">
        <v>1218</v>
      </c>
      <c r="C71">
        <v>7.7</v>
      </c>
    </row>
    <row r="72" spans="1:3">
      <c r="A72">
        <v>1442</v>
      </c>
      <c r="B72" t="s">
        <v>1219</v>
      </c>
      <c r="C72">
        <v>18.8</v>
      </c>
    </row>
    <row r="73" spans="1:3">
      <c r="A73">
        <v>1443</v>
      </c>
      <c r="B73" t="s">
        <v>1220</v>
      </c>
      <c r="C73">
        <v>5.09</v>
      </c>
    </row>
    <row r="74" spans="1:3">
      <c r="A74">
        <v>1444</v>
      </c>
      <c r="B74" t="s">
        <v>1221</v>
      </c>
      <c r="C74">
        <v>9.92</v>
      </c>
    </row>
    <row r="75" spans="1:3">
      <c r="A75">
        <v>1445</v>
      </c>
      <c r="B75" t="s">
        <v>1222</v>
      </c>
      <c r="C75">
        <v>9.76</v>
      </c>
    </row>
    <row r="76" spans="1:3">
      <c r="A76">
        <v>1446</v>
      </c>
      <c r="B76" t="s">
        <v>1223</v>
      </c>
      <c r="C76">
        <v>20.55</v>
      </c>
    </row>
    <row r="77" spans="1:3">
      <c r="A77">
        <v>1447</v>
      </c>
      <c r="B77" t="s">
        <v>1224</v>
      </c>
      <c r="C77">
        <v>9.5399999999999991</v>
      </c>
    </row>
    <row r="78" spans="1:3">
      <c r="A78">
        <v>1449</v>
      </c>
      <c r="B78" t="s">
        <v>1225</v>
      </c>
      <c r="C78">
        <v>7.79</v>
      </c>
    </row>
    <row r="79" spans="1:3">
      <c r="A79">
        <v>1451</v>
      </c>
      <c r="B79" t="s">
        <v>1226</v>
      </c>
      <c r="C79">
        <v>21.9</v>
      </c>
    </row>
    <row r="80" spans="1:3">
      <c r="A80">
        <v>1452</v>
      </c>
      <c r="B80" t="s">
        <v>1227</v>
      </c>
      <c r="C80">
        <v>27.05</v>
      </c>
    </row>
    <row r="81" spans="1:3">
      <c r="A81">
        <v>1453</v>
      </c>
      <c r="B81" t="s">
        <v>1228</v>
      </c>
      <c r="C81">
        <v>8.6300000000000008</v>
      </c>
    </row>
    <row r="82" spans="1:3">
      <c r="A82">
        <v>1454</v>
      </c>
      <c r="B82" t="s">
        <v>1229</v>
      </c>
      <c r="C82">
        <v>10.45</v>
      </c>
    </row>
    <row r="83" spans="1:3">
      <c r="A83">
        <v>1455</v>
      </c>
      <c r="B83" t="s">
        <v>1230</v>
      </c>
      <c r="C83">
        <v>10.050000000000001</v>
      </c>
    </row>
    <row r="84" spans="1:3">
      <c r="A84">
        <v>1456</v>
      </c>
      <c r="B84" t="s">
        <v>1231</v>
      </c>
      <c r="C84">
        <v>0</v>
      </c>
    </row>
    <row r="85" spans="1:3">
      <c r="A85">
        <v>1457</v>
      </c>
      <c r="B85" t="s">
        <v>1232</v>
      </c>
      <c r="C85">
        <v>14</v>
      </c>
    </row>
    <row r="86" spans="1:3">
      <c r="A86">
        <v>1459</v>
      </c>
      <c r="B86" t="s">
        <v>1233</v>
      </c>
      <c r="C86">
        <v>12.85</v>
      </c>
    </row>
    <row r="87" spans="1:3">
      <c r="A87">
        <v>1460</v>
      </c>
      <c r="B87" t="s">
        <v>1234</v>
      </c>
      <c r="C87">
        <v>17.3</v>
      </c>
    </row>
    <row r="88" spans="1:3">
      <c r="A88">
        <v>1463</v>
      </c>
      <c r="B88" t="s">
        <v>1235</v>
      </c>
      <c r="C88">
        <v>16</v>
      </c>
    </row>
    <row r="89" spans="1:3">
      <c r="A89">
        <v>1464</v>
      </c>
      <c r="B89" t="s">
        <v>1236</v>
      </c>
      <c r="C89">
        <v>35.4</v>
      </c>
    </row>
    <row r="90" spans="1:3">
      <c r="A90">
        <v>1465</v>
      </c>
      <c r="B90" t="s">
        <v>1237</v>
      </c>
      <c r="C90">
        <v>13.5</v>
      </c>
    </row>
    <row r="91" spans="1:3">
      <c r="A91">
        <v>1466</v>
      </c>
      <c r="B91" t="s">
        <v>1238</v>
      </c>
      <c r="C91">
        <v>17</v>
      </c>
    </row>
    <row r="92" spans="1:3">
      <c r="A92">
        <v>1467</v>
      </c>
      <c r="B92" t="s">
        <v>1239</v>
      </c>
      <c r="C92">
        <v>13.7</v>
      </c>
    </row>
    <row r="93" spans="1:3">
      <c r="A93">
        <v>1468</v>
      </c>
      <c r="B93" t="s">
        <v>1240</v>
      </c>
      <c r="C93">
        <v>9.35</v>
      </c>
    </row>
    <row r="94" spans="1:3">
      <c r="A94">
        <v>1469</v>
      </c>
      <c r="B94" t="s">
        <v>1241</v>
      </c>
      <c r="C94">
        <v>12.45</v>
      </c>
    </row>
    <row r="95" spans="1:3">
      <c r="A95">
        <v>1470</v>
      </c>
      <c r="B95" t="s">
        <v>1242</v>
      </c>
      <c r="C95">
        <v>0</v>
      </c>
    </row>
    <row r="96" spans="1:3">
      <c r="A96">
        <v>1471</v>
      </c>
      <c r="B96" t="s">
        <v>1243</v>
      </c>
      <c r="C96">
        <v>4.8600000000000003</v>
      </c>
    </row>
    <row r="97" spans="1:3">
      <c r="A97">
        <v>1472</v>
      </c>
      <c r="B97" t="s">
        <v>1244</v>
      </c>
      <c r="C97">
        <v>14.25</v>
      </c>
    </row>
    <row r="98" spans="1:3">
      <c r="A98">
        <v>1473</v>
      </c>
      <c r="B98" t="s">
        <v>1245</v>
      </c>
      <c r="C98">
        <v>25.9</v>
      </c>
    </row>
    <row r="99" spans="1:3">
      <c r="A99">
        <v>1474</v>
      </c>
      <c r="B99" t="s">
        <v>1246</v>
      </c>
      <c r="C99">
        <v>10</v>
      </c>
    </row>
    <row r="100" spans="1:3">
      <c r="A100">
        <v>1475</v>
      </c>
      <c r="B100" t="s">
        <v>1247</v>
      </c>
      <c r="C100">
        <v>8.16</v>
      </c>
    </row>
    <row r="101" spans="1:3">
      <c r="A101">
        <v>1476</v>
      </c>
      <c r="B101" t="s">
        <v>1248</v>
      </c>
      <c r="C101">
        <v>489.5</v>
      </c>
    </row>
    <row r="102" spans="1:3">
      <c r="A102">
        <v>1477</v>
      </c>
      <c r="B102" t="s">
        <v>1249</v>
      </c>
      <c r="C102">
        <v>246</v>
      </c>
    </row>
    <row r="103" spans="1:3">
      <c r="A103">
        <v>1503</v>
      </c>
      <c r="B103" t="s">
        <v>1250</v>
      </c>
      <c r="C103">
        <v>39.9</v>
      </c>
    </row>
    <row r="104" spans="1:3">
      <c r="A104">
        <v>1504</v>
      </c>
      <c r="B104" t="s">
        <v>1251</v>
      </c>
      <c r="C104">
        <v>27.55</v>
      </c>
    </row>
    <row r="105" spans="1:3">
      <c r="A105">
        <v>1506</v>
      </c>
      <c r="B105" t="s">
        <v>1252</v>
      </c>
      <c r="C105">
        <v>15.85</v>
      </c>
    </row>
    <row r="106" spans="1:3">
      <c r="A106">
        <v>1507</v>
      </c>
      <c r="B106" t="s">
        <v>1253</v>
      </c>
      <c r="C106">
        <v>54.3</v>
      </c>
    </row>
    <row r="107" spans="1:3">
      <c r="A107">
        <v>1512</v>
      </c>
      <c r="B107" t="s">
        <v>1254</v>
      </c>
      <c r="C107">
        <v>4.29</v>
      </c>
    </row>
    <row r="108" spans="1:3">
      <c r="A108">
        <v>1513</v>
      </c>
      <c r="B108" t="s">
        <v>1255</v>
      </c>
      <c r="C108">
        <v>17.649999999999999</v>
      </c>
    </row>
    <row r="109" spans="1:3">
      <c r="A109">
        <v>1514</v>
      </c>
      <c r="B109" t="s">
        <v>1256</v>
      </c>
      <c r="C109">
        <v>8.39</v>
      </c>
    </row>
    <row r="110" spans="1:3">
      <c r="A110">
        <v>1515</v>
      </c>
      <c r="B110" t="s">
        <v>1257</v>
      </c>
      <c r="C110">
        <v>12.7</v>
      </c>
    </row>
    <row r="111" spans="1:3">
      <c r="A111">
        <v>1516</v>
      </c>
      <c r="B111" t="s">
        <v>1258</v>
      </c>
      <c r="C111">
        <v>24.1</v>
      </c>
    </row>
    <row r="112" spans="1:3">
      <c r="A112">
        <v>1517</v>
      </c>
      <c r="B112" t="s">
        <v>1259</v>
      </c>
      <c r="C112">
        <v>12.6</v>
      </c>
    </row>
    <row r="113" spans="1:3">
      <c r="A113">
        <v>1519</v>
      </c>
      <c r="B113" t="s">
        <v>1260</v>
      </c>
      <c r="C113">
        <v>15.3</v>
      </c>
    </row>
    <row r="114" spans="1:3">
      <c r="A114">
        <v>1521</v>
      </c>
      <c r="B114" t="s">
        <v>1261</v>
      </c>
      <c r="C114">
        <v>84.3</v>
      </c>
    </row>
    <row r="115" spans="1:3">
      <c r="A115">
        <v>1522</v>
      </c>
      <c r="B115" t="s">
        <v>1262</v>
      </c>
      <c r="C115">
        <v>22.8</v>
      </c>
    </row>
    <row r="116" spans="1:3">
      <c r="A116">
        <v>1524</v>
      </c>
      <c r="B116" t="s">
        <v>1263</v>
      </c>
      <c r="C116">
        <v>5.31</v>
      </c>
    </row>
    <row r="117" spans="1:3">
      <c r="A117">
        <v>1525</v>
      </c>
      <c r="B117" t="s">
        <v>1264</v>
      </c>
      <c r="C117">
        <v>85.6</v>
      </c>
    </row>
    <row r="118" spans="1:3">
      <c r="A118">
        <v>1526</v>
      </c>
      <c r="B118" t="s">
        <v>1265</v>
      </c>
      <c r="C118">
        <v>13.2</v>
      </c>
    </row>
    <row r="119" spans="1:3">
      <c r="A119">
        <v>1527</v>
      </c>
      <c r="B119" t="s">
        <v>1266</v>
      </c>
      <c r="C119">
        <v>59.1</v>
      </c>
    </row>
    <row r="120" spans="1:3">
      <c r="A120">
        <v>1528</v>
      </c>
      <c r="B120" t="s">
        <v>1267</v>
      </c>
      <c r="C120">
        <v>10.35</v>
      </c>
    </row>
    <row r="121" spans="1:3">
      <c r="A121">
        <v>1529</v>
      </c>
      <c r="B121" t="s">
        <v>1268</v>
      </c>
      <c r="C121">
        <v>5.3</v>
      </c>
    </row>
    <row r="122" spans="1:3">
      <c r="A122">
        <v>1530</v>
      </c>
      <c r="B122" t="s">
        <v>1269</v>
      </c>
      <c r="C122">
        <v>29.55</v>
      </c>
    </row>
    <row r="123" spans="1:3">
      <c r="A123">
        <v>1531</v>
      </c>
      <c r="B123" t="s">
        <v>1270</v>
      </c>
      <c r="C123">
        <v>17.75</v>
      </c>
    </row>
    <row r="124" spans="1:3">
      <c r="A124">
        <v>1532</v>
      </c>
      <c r="B124" t="s">
        <v>1271</v>
      </c>
      <c r="C124">
        <v>28.95</v>
      </c>
    </row>
    <row r="125" spans="1:3">
      <c r="A125">
        <v>1533</v>
      </c>
      <c r="B125" t="s">
        <v>1272</v>
      </c>
      <c r="C125">
        <v>47.25</v>
      </c>
    </row>
    <row r="126" spans="1:3">
      <c r="A126">
        <v>1535</v>
      </c>
      <c r="B126" t="s">
        <v>1273</v>
      </c>
      <c r="C126">
        <v>60.9</v>
      </c>
    </row>
    <row r="127" spans="1:3">
      <c r="A127">
        <v>1536</v>
      </c>
      <c r="B127" t="s">
        <v>1274</v>
      </c>
      <c r="C127">
        <v>104.5</v>
      </c>
    </row>
    <row r="128" spans="1:3">
      <c r="A128">
        <v>1537</v>
      </c>
      <c r="B128" t="s">
        <v>1275</v>
      </c>
      <c r="C128">
        <v>117</v>
      </c>
    </row>
    <row r="129" spans="1:3">
      <c r="A129">
        <v>1538</v>
      </c>
      <c r="B129" t="s">
        <v>1276</v>
      </c>
      <c r="C129">
        <v>5.01</v>
      </c>
    </row>
    <row r="130" spans="1:3">
      <c r="A130">
        <v>1539</v>
      </c>
      <c r="B130" t="s">
        <v>1277</v>
      </c>
      <c r="C130">
        <v>37.75</v>
      </c>
    </row>
    <row r="131" spans="1:3">
      <c r="A131">
        <v>1540</v>
      </c>
      <c r="B131" t="s">
        <v>1278</v>
      </c>
      <c r="C131">
        <v>17.149999999999999</v>
      </c>
    </row>
    <row r="132" spans="1:3">
      <c r="A132">
        <v>1541</v>
      </c>
      <c r="B132" t="s">
        <v>1279</v>
      </c>
      <c r="C132">
        <v>58.2</v>
      </c>
    </row>
    <row r="133" spans="1:3">
      <c r="A133">
        <v>1558</v>
      </c>
      <c r="B133" t="s">
        <v>1280</v>
      </c>
      <c r="C133">
        <v>144.5</v>
      </c>
    </row>
    <row r="134" spans="1:3">
      <c r="A134">
        <v>1560</v>
      </c>
      <c r="B134" t="s">
        <v>1281</v>
      </c>
      <c r="C134">
        <v>56.5</v>
      </c>
    </row>
    <row r="135" spans="1:3">
      <c r="A135">
        <v>1568</v>
      </c>
      <c r="B135" t="s">
        <v>1282</v>
      </c>
      <c r="C135">
        <v>16.600000000000001</v>
      </c>
    </row>
    <row r="136" spans="1:3">
      <c r="A136">
        <v>1582</v>
      </c>
      <c r="B136" t="s">
        <v>1283</v>
      </c>
      <c r="C136">
        <v>50.6</v>
      </c>
    </row>
    <row r="137" spans="1:3">
      <c r="A137">
        <v>1583</v>
      </c>
      <c r="B137" t="s">
        <v>1284</v>
      </c>
      <c r="C137">
        <v>64.5</v>
      </c>
    </row>
    <row r="138" spans="1:3">
      <c r="A138">
        <v>1589</v>
      </c>
      <c r="B138" t="s">
        <v>1285</v>
      </c>
      <c r="C138">
        <v>219.5</v>
      </c>
    </row>
    <row r="139" spans="1:3">
      <c r="A139">
        <v>1590</v>
      </c>
      <c r="B139" t="s">
        <v>1286</v>
      </c>
      <c r="C139">
        <v>169</v>
      </c>
    </row>
    <row r="140" spans="1:3">
      <c r="A140">
        <v>1592</v>
      </c>
      <c r="B140" t="s">
        <v>1287</v>
      </c>
      <c r="C140">
        <v>30.3</v>
      </c>
    </row>
    <row r="141" spans="1:3">
      <c r="A141">
        <v>1603</v>
      </c>
      <c r="B141" t="s">
        <v>1288</v>
      </c>
      <c r="C141">
        <v>11.85</v>
      </c>
    </row>
    <row r="142" spans="1:3">
      <c r="A142">
        <v>1604</v>
      </c>
      <c r="B142" t="s">
        <v>1289</v>
      </c>
      <c r="C142">
        <v>12.7</v>
      </c>
    </row>
    <row r="143" spans="1:3">
      <c r="A143">
        <v>1605</v>
      </c>
      <c r="B143" t="s">
        <v>1290</v>
      </c>
      <c r="C143">
        <v>7.59</v>
      </c>
    </row>
    <row r="144" spans="1:3">
      <c r="A144">
        <v>1608</v>
      </c>
      <c r="B144" t="s">
        <v>1291</v>
      </c>
      <c r="C144">
        <v>7.22</v>
      </c>
    </row>
    <row r="145" spans="1:3">
      <c r="A145">
        <v>1609</v>
      </c>
      <c r="B145" t="s">
        <v>1292</v>
      </c>
      <c r="C145">
        <v>4.74</v>
      </c>
    </row>
    <row r="146" spans="1:3">
      <c r="A146">
        <v>1611</v>
      </c>
      <c r="B146" t="s">
        <v>1293</v>
      </c>
      <c r="C146">
        <v>8.51</v>
      </c>
    </row>
    <row r="147" spans="1:3">
      <c r="A147">
        <v>1612</v>
      </c>
      <c r="B147" t="s">
        <v>1294</v>
      </c>
      <c r="C147">
        <v>8.16</v>
      </c>
    </row>
    <row r="148" spans="1:3">
      <c r="A148">
        <v>1613</v>
      </c>
      <c r="B148" t="s">
        <v>1295</v>
      </c>
      <c r="C148">
        <v>3.34</v>
      </c>
    </row>
    <row r="149" spans="1:3">
      <c r="A149">
        <v>1614</v>
      </c>
      <c r="B149" t="s">
        <v>1296</v>
      </c>
      <c r="C149">
        <v>26.75</v>
      </c>
    </row>
    <row r="150" spans="1:3">
      <c r="A150">
        <v>1615</v>
      </c>
      <c r="B150" t="s">
        <v>1297</v>
      </c>
      <c r="C150">
        <v>10.050000000000001</v>
      </c>
    </row>
    <row r="151" spans="1:3">
      <c r="A151">
        <v>1616</v>
      </c>
      <c r="B151" t="s">
        <v>1298</v>
      </c>
      <c r="C151">
        <v>4.92</v>
      </c>
    </row>
    <row r="152" spans="1:3">
      <c r="A152">
        <v>1617</v>
      </c>
      <c r="B152" t="s">
        <v>1299</v>
      </c>
      <c r="C152">
        <v>7.32</v>
      </c>
    </row>
    <row r="153" spans="1:3">
      <c r="A153">
        <v>1618</v>
      </c>
      <c r="B153" t="s">
        <v>1300</v>
      </c>
      <c r="C153">
        <v>7.02</v>
      </c>
    </row>
    <row r="154" spans="1:3">
      <c r="A154">
        <v>1626</v>
      </c>
      <c r="B154" t="s">
        <v>1301</v>
      </c>
      <c r="C154">
        <v>27.65</v>
      </c>
    </row>
    <row r="155" spans="1:3">
      <c r="A155">
        <v>1701</v>
      </c>
      <c r="B155" t="s">
        <v>1302</v>
      </c>
      <c r="C155">
        <v>19</v>
      </c>
    </row>
    <row r="156" spans="1:3">
      <c r="A156">
        <v>1702</v>
      </c>
      <c r="B156" t="s">
        <v>1303</v>
      </c>
      <c r="C156">
        <v>71.8</v>
      </c>
    </row>
    <row r="157" spans="1:3">
      <c r="A157">
        <v>1704</v>
      </c>
      <c r="B157" t="s">
        <v>1304</v>
      </c>
      <c r="C157">
        <v>26.75</v>
      </c>
    </row>
    <row r="158" spans="1:3">
      <c r="A158">
        <v>1707</v>
      </c>
      <c r="B158" t="s">
        <v>1305</v>
      </c>
      <c r="C158">
        <v>178</v>
      </c>
    </row>
    <row r="159" spans="1:3">
      <c r="A159">
        <v>1708</v>
      </c>
      <c r="B159" t="s">
        <v>1306</v>
      </c>
      <c r="C159">
        <v>34.65</v>
      </c>
    </row>
    <row r="160" spans="1:3">
      <c r="A160">
        <v>1709</v>
      </c>
      <c r="B160" t="s">
        <v>1307</v>
      </c>
      <c r="C160">
        <v>15.6</v>
      </c>
    </row>
    <row r="161" spans="1:3">
      <c r="A161">
        <v>1710</v>
      </c>
      <c r="B161" t="s">
        <v>1308</v>
      </c>
      <c r="C161">
        <v>24.75</v>
      </c>
    </row>
    <row r="162" spans="1:3">
      <c r="A162">
        <v>1711</v>
      </c>
      <c r="B162" t="s">
        <v>1309</v>
      </c>
      <c r="C162">
        <v>18.55</v>
      </c>
    </row>
    <row r="163" spans="1:3">
      <c r="A163">
        <v>1712</v>
      </c>
      <c r="B163" t="s">
        <v>1310</v>
      </c>
      <c r="C163">
        <v>14.1</v>
      </c>
    </row>
    <row r="164" spans="1:3">
      <c r="A164">
        <v>1713</v>
      </c>
      <c r="B164" t="s">
        <v>1311</v>
      </c>
      <c r="C164">
        <v>15.8</v>
      </c>
    </row>
    <row r="165" spans="1:3">
      <c r="A165">
        <v>1714</v>
      </c>
      <c r="B165" t="s">
        <v>1312</v>
      </c>
      <c r="C165">
        <v>7.54</v>
      </c>
    </row>
    <row r="166" spans="1:3">
      <c r="A166">
        <v>1715</v>
      </c>
      <c r="B166" t="s">
        <v>1313</v>
      </c>
      <c r="C166">
        <v>13.6</v>
      </c>
    </row>
    <row r="167" spans="1:3">
      <c r="A167">
        <v>1717</v>
      </c>
      <c r="B167" t="s">
        <v>1314</v>
      </c>
      <c r="C167">
        <v>30.85</v>
      </c>
    </row>
    <row r="168" spans="1:3">
      <c r="A168">
        <v>1718</v>
      </c>
      <c r="B168" t="s">
        <v>1315</v>
      </c>
      <c r="C168">
        <v>9.3000000000000007</v>
      </c>
    </row>
    <row r="169" spans="1:3">
      <c r="A169">
        <v>1720</v>
      </c>
      <c r="B169" t="s">
        <v>1316</v>
      </c>
      <c r="C169">
        <v>34.950000000000003</v>
      </c>
    </row>
    <row r="170" spans="1:3">
      <c r="A170">
        <v>1721</v>
      </c>
      <c r="B170" t="s">
        <v>1317</v>
      </c>
      <c r="C170">
        <v>10.9</v>
      </c>
    </row>
    <row r="171" spans="1:3">
      <c r="A171">
        <v>1722</v>
      </c>
      <c r="B171" t="s">
        <v>1318</v>
      </c>
      <c r="C171">
        <v>42.55</v>
      </c>
    </row>
    <row r="172" spans="1:3">
      <c r="A172">
        <v>1723</v>
      </c>
      <c r="B172" t="s">
        <v>1319</v>
      </c>
      <c r="C172">
        <v>126</v>
      </c>
    </row>
    <row r="173" spans="1:3">
      <c r="A173">
        <v>1724</v>
      </c>
      <c r="B173" t="s">
        <v>1320</v>
      </c>
      <c r="C173">
        <v>14.95</v>
      </c>
    </row>
    <row r="174" spans="1:3">
      <c r="A174">
        <v>1725</v>
      </c>
      <c r="B174" t="s">
        <v>1321</v>
      </c>
      <c r="C174">
        <v>14.9</v>
      </c>
    </row>
    <row r="175" spans="1:3">
      <c r="A175">
        <v>1726</v>
      </c>
      <c r="B175" t="s">
        <v>1322</v>
      </c>
      <c r="C175">
        <v>69</v>
      </c>
    </row>
    <row r="176" spans="1:3">
      <c r="A176">
        <v>1727</v>
      </c>
      <c r="B176" t="s">
        <v>1323</v>
      </c>
      <c r="C176">
        <v>15.2</v>
      </c>
    </row>
    <row r="177" spans="1:3">
      <c r="A177">
        <v>1729</v>
      </c>
      <c r="B177" t="s">
        <v>1324</v>
      </c>
      <c r="C177">
        <v>76.900000000000006</v>
      </c>
    </row>
    <row r="178" spans="1:3">
      <c r="A178">
        <v>1730</v>
      </c>
      <c r="B178" t="s">
        <v>1325</v>
      </c>
      <c r="C178">
        <v>31.2</v>
      </c>
    </row>
    <row r="179" spans="1:3">
      <c r="A179">
        <v>1731</v>
      </c>
      <c r="B179" t="s">
        <v>1326</v>
      </c>
      <c r="C179">
        <v>13.85</v>
      </c>
    </row>
    <row r="180" spans="1:3">
      <c r="A180">
        <v>1732</v>
      </c>
      <c r="B180" t="s">
        <v>1327</v>
      </c>
      <c r="C180">
        <v>13.1</v>
      </c>
    </row>
    <row r="181" spans="1:3">
      <c r="A181">
        <v>1733</v>
      </c>
      <c r="B181" t="s">
        <v>1328</v>
      </c>
      <c r="C181">
        <v>42.8</v>
      </c>
    </row>
    <row r="182" spans="1:3">
      <c r="A182">
        <v>1734</v>
      </c>
      <c r="B182" t="s">
        <v>1329</v>
      </c>
      <c r="C182">
        <v>28.65</v>
      </c>
    </row>
    <row r="183" spans="1:3">
      <c r="A183">
        <v>1735</v>
      </c>
      <c r="B183" t="s">
        <v>1330</v>
      </c>
      <c r="C183">
        <v>11.95</v>
      </c>
    </row>
    <row r="184" spans="1:3">
      <c r="A184">
        <v>1736</v>
      </c>
      <c r="B184" t="s">
        <v>1331</v>
      </c>
      <c r="C184">
        <v>60.2</v>
      </c>
    </row>
    <row r="185" spans="1:3">
      <c r="A185">
        <v>1737</v>
      </c>
      <c r="B185" t="s">
        <v>1332</v>
      </c>
      <c r="C185">
        <v>24.15</v>
      </c>
    </row>
    <row r="186" spans="1:3">
      <c r="A186">
        <v>1762</v>
      </c>
      <c r="B186" t="s">
        <v>1333</v>
      </c>
      <c r="C186">
        <v>33.200000000000003</v>
      </c>
    </row>
    <row r="187" spans="1:3">
      <c r="A187">
        <v>1773</v>
      </c>
      <c r="B187" t="s">
        <v>1334</v>
      </c>
      <c r="C187">
        <v>41.8</v>
      </c>
    </row>
    <row r="188" spans="1:3">
      <c r="A188">
        <v>1783</v>
      </c>
      <c r="B188" t="s">
        <v>1335</v>
      </c>
      <c r="C188">
        <v>25.75</v>
      </c>
    </row>
    <row r="189" spans="1:3">
      <c r="A189">
        <v>1786</v>
      </c>
      <c r="B189" t="s">
        <v>1336</v>
      </c>
      <c r="C189">
        <v>62.3</v>
      </c>
    </row>
    <row r="190" spans="1:3">
      <c r="A190">
        <v>1789</v>
      </c>
      <c r="B190" t="s">
        <v>1337</v>
      </c>
      <c r="C190">
        <v>37.6</v>
      </c>
    </row>
    <row r="191" spans="1:3">
      <c r="A191">
        <v>1802</v>
      </c>
      <c r="B191" t="s">
        <v>1338</v>
      </c>
      <c r="C191">
        <v>13.25</v>
      </c>
    </row>
    <row r="192" spans="1:3">
      <c r="A192">
        <v>1805</v>
      </c>
      <c r="B192" t="s">
        <v>1339</v>
      </c>
      <c r="C192">
        <v>7.75</v>
      </c>
    </row>
    <row r="193" spans="1:3">
      <c r="A193">
        <v>1806</v>
      </c>
      <c r="B193" t="s">
        <v>1340</v>
      </c>
      <c r="C193">
        <v>7.09</v>
      </c>
    </row>
    <row r="194" spans="1:3">
      <c r="A194">
        <v>1808</v>
      </c>
      <c r="B194" t="s">
        <v>1341</v>
      </c>
      <c r="C194">
        <v>28.25</v>
      </c>
    </row>
    <row r="195" spans="1:3">
      <c r="A195">
        <v>1809</v>
      </c>
      <c r="B195" t="s">
        <v>1342</v>
      </c>
      <c r="C195">
        <v>10.85</v>
      </c>
    </row>
    <row r="196" spans="1:3">
      <c r="A196">
        <v>1810</v>
      </c>
      <c r="B196" t="s">
        <v>1343</v>
      </c>
      <c r="C196">
        <v>8.51</v>
      </c>
    </row>
    <row r="197" spans="1:3">
      <c r="A197">
        <v>1817</v>
      </c>
      <c r="B197" t="s">
        <v>1344</v>
      </c>
      <c r="C197">
        <v>34.299999999999997</v>
      </c>
    </row>
    <row r="198" spans="1:3">
      <c r="A198">
        <v>1902</v>
      </c>
      <c r="B198" t="s">
        <v>1345</v>
      </c>
      <c r="C198">
        <v>10.85</v>
      </c>
    </row>
    <row r="199" spans="1:3">
      <c r="A199">
        <v>1903</v>
      </c>
      <c r="B199" t="s">
        <v>1346</v>
      </c>
      <c r="C199">
        <v>30.65</v>
      </c>
    </row>
    <row r="200" spans="1:3">
      <c r="A200">
        <v>1904</v>
      </c>
      <c r="B200" t="s">
        <v>1347</v>
      </c>
      <c r="C200">
        <v>11.5</v>
      </c>
    </row>
    <row r="201" spans="1:3">
      <c r="A201">
        <v>1905</v>
      </c>
      <c r="B201" t="s">
        <v>2458</v>
      </c>
      <c r="C201">
        <v>10.45</v>
      </c>
    </row>
    <row r="202" spans="1:3">
      <c r="A202">
        <v>1906</v>
      </c>
      <c r="B202" t="s">
        <v>1348</v>
      </c>
      <c r="C202">
        <v>8.25</v>
      </c>
    </row>
    <row r="203" spans="1:3">
      <c r="A203">
        <v>1907</v>
      </c>
      <c r="B203" t="s">
        <v>1349</v>
      </c>
      <c r="C203">
        <v>11.1</v>
      </c>
    </row>
    <row r="204" spans="1:3">
      <c r="A204">
        <v>1909</v>
      </c>
      <c r="B204" t="s">
        <v>1350</v>
      </c>
      <c r="C204">
        <v>11.65</v>
      </c>
    </row>
    <row r="205" spans="1:3">
      <c r="A205">
        <v>2002</v>
      </c>
      <c r="B205" t="s">
        <v>1351</v>
      </c>
      <c r="C205">
        <v>20.399999999999999</v>
      </c>
    </row>
    <row r="206" spans="1:3">
      <c r="A206" t="s">
        <v>301</v>
      </c>
      <c r="B206" t="s">
        <v>1352</v>
      </c>
      <c r="C206">
        <v>38.75</v>
      </c>
    </row>
    <row r="207" spans="1:3">
      <c r="A207">
        <v>2006</v>
      </c>
      <c r="B207" t="s">
        <v>1353</v>
      </c>
      <c r="C207">
        <v>18.45</v>
      </c>
    </row>
    <row r="208" spans="1:3">
      <c r="A208">
        <v>2007</v>
      </c>
      <c r="B208" t="s">
        <v>1354</v>
      </c>
      <c r="C208">
        <v>4.2699999999999996</v>
      </c>
    </row>
    <row r="209" spans="1:3">
      <c r="A209">
        <v>2008</v>
      </c>
      <c r="B209" t="s">
        <v>1355</v>
      </c>
      <c r="C209">
        <v>8.1999999999999993</v>
      </c>
    </row>
    <row r="210" spans="1:3">
      <c r="A210">
        <v>2009</v>
      </c>
      <c r="B210" t="s">
        <v>1356</v>
      </c>
      <c r="C210">
        <v>7.5</v>
      </c>
    </row>
    <row r="211" spans="1:3">
      <c r="A211">
        <v>2010</v>
      </c>
      <c r="B211" t="s">
        <v>1357</v>
      </c>
      <c r="C211">
        <v>9.6999999999999993</v>
      </c>
    </row>
    <row r="212" spans="1:3">
      <c r="A212">
        <v>2012</v>
      </c>
      <c r="B212" t="s">
        <v>1358</v>
      </c>
      <c r="C212">
        <v>13.85</v>
      </c>
    </row>
    <row r="213" spans="1:3">
      <c r="A213">
        <v>2013</v>
      </c>
      <c r="B213" t="s">
        <v>1359</v>
      </c>
      <c r="C213">
        <v>20</v>
      </c>
    </row>
    <row r="214" spans="1:3">
      <c r="A214">
        <v>2014</v>
      </c>
      <c r="B214" t="s">
        <v>1360</v>
      </c>
      <c r="C214">
        <v>4.95</v>
      </c>
    </row>
    <row r="215" spans="1:3">
      <c r="A215">
        <v>2015</v>
      </c>
      <c r="B215" t="s">
        <v>1361</v>
      </c>
      <c r="C215">
        <v>38.299999999999997</v>
      </c>
    </row>
    <row r="216" spans="1:3">
      <c r="A216">
        <v>2017</v>
      </c>
      <c r="B216" t="s">
        <v>1362</v>
      </c>
      <c r="C216">
        <v>5.64</v>
      </c>
    </row>
    <row r="217" spans="1:3">
      <c r="A217">
        <v>2020</v>
      </c>
      <c r="B217" t="s">
        <v>1363</v>
      </c>
      <c r="C217">
        <v>13.5</v>
      </c>
    </row>
    <row r="218" spans="1:3">
      <c r="A218">
        <v>2022</v>
      </c>
      <c r="B218" t="s">
        <v>1364</v>
      </c>
      <c r="C218">
        <v>4.1900000000000004</v>
      </c>
    </row>
    <row r="219" spans="1:3">
      <c r="A219">
        <v>2023</v>
      </c>
      <c r="B219" t="s">
        <v>1365</v>
      </c>
      <c r="C219">
        <v>7.79</v>
      </c>
    </row>
    <row r="220" spans="1:3">
      <c r="A220">
        <v>2024</v>
      </c>
      <c r="B220" t="s">
        <v>1366</v>
      </c>
      <c r="C220">
        <v>7.45</v>
      </c>
    </row>
    <row r="221" spans="1:3">
      <c r="A221">
        <v>2025</v>
      </c>
      <c r="B221" t="s">
        <v>1367</v>
      </c>
      <c r="C221">
        <v>3.21</v>
      </c>
    </row>
    <row r="222" spans="1:3">
      <c r="A222">
        <v>2027</v>
      </c>
      <c r="B222" t="s">
        <v>1368</v>
      </c>
      <c r="C222">
        <v>16.149999999999999</v>
      </c>
    </row>
    <row r="223" spans="1:3">
      <c r="A223">
        <v>2028</v>
      </c>
      <c r="B223" t="s">
        <v>1369</v>
      </c>
      <c r="C223">
        <v>1.4</v>
      </c>
    </row>
    <row r="224" spans="1:3">
      <c r="A224">
        <v>2029</v>
      </c>
      <c r="B224" t="s">
        <v>1370</v>
      </c>
      <c r="C224">
        <v>17.95</v>
      </c>
    </row>
    <row r="225" spans="1:3">
      <c r="A225">
        <v>2030</v>
      </c>
      <c r="B225" t="s">
        <v>1371</v>
      </c>
      <c r="C225">
        <v>10.15</v>
      </c>
    </row>
    <row r="226" spans="1:3">
      <c r="A226">
        <v>2031</v>
      </c>
      <c r="B226" t="s">
        <v>1372</v>
      </c>
      <c r="C226">
        <v>14.65</v>
      </c>
    </row>
    <row r="227" spans="1:3">
      <c r="A227">
        <v>2032</v>
      </c>
      <c r="B227" t="s">
        <v>1373</v>
      </c>
      <c r="C227">
        <v>9.1199999999999992</v>
      </c>
    </row>
    <row r="228" spans="1:3">
      <c r="A228">
        <v>2033</v>
      </c>
      <c r="B228" t="s">
        <v>1374</v>
      </c>
      <c r="C228">
        <v>8.09</v>
      </c>
    </row>
    <row r="229" spans="1:3">
      <c r="A229">
        <v>2034</v>
      </c>
      <c r="B229" t="s">
        <v>1375</v>
      </c>
      <c r="C229">
        <v>19.399999999999999</v>
      </c>
    </row>
    <row r="230" spans="1:3">
      <c r="A230">
        <v>2038</v>
      </c>
      <c r="B230" t="s">
        <v>1376</v>
      </c>
      <c r="C230">
        <v>5.98</v>
      </c>
    </row>
    <row r="231" spans="1:3">
      <c r="A231">
        <v>2049</v>
      </c>
      <c r="B231" t="s">
        <v>1377</v>
      </c>
      <c r="C231">
        <v>179</v>
      </c>
    </row>
    <row r="232" spans="1:3">
      <c r="A232">
        <v>2059</v>
      </c>
      <c r="B232" t="s">
        <v>1378</v>
      </c>
      <c r="C232">
        <v>416</v>
      </c>
    </row>
    <row r="233" spans="1:3">
      <c r="A233">
        <v>2062</v>
      </c>
      <c r="B233" t="s">
        <v>1379</v>
      </c>
      <c r="C233">
        <v>44.85</v>
      </c>
    </row>
    <row r="234" spans="1:3">
      <c r="A234">
        <v>2101</v>
      </c>
      <c r="B234" t="s">
        <v>1380</v>
      </c>
      <c r="C234">
        <v>29.35</v>
      </c>
    </row>
    <row r="235" spans="1:3">
      <c r="A235">
        <v>2102</v>
      </c>
      <c r="B235" t="s">
        <v>1381</v>
      </c>
      <c r="C235">
        <v>15.05</v>
      </c>
    </row>
    <row r="236" spans="1:3">
      <c r="A236">
        <v>2103</v>
      </c>
      <c r="B236" t="s">
        <v>1382</v>
      </c>
      <c r="C236">
        <v>22.7</v>
      </c>
    </row>
    <row r="237" spans="1:3">
      <c r="A237">
        <v>2104</v>
      </c>
      <c r="B237" t="s">
        <v>1383</v>
      </c>
      <c r="C237">
        <v>24.65</v>
      </c>
    </row>
    <row r="238" spans="1:3">
      <c r="A238">
        <v>2105</v>
      </c>
      <c r="B238" t="s">
        <v>1384</v>
      </c>
      <c r="C238">
        <v>59.7</v>
      </c>
    </row>
    <row r="239" spans="1:3">
      <c r="A239">
        <v>2106</v>
      </c>
      <c r="B239" t="s">
        <v>1385</v>
      </c>
      <c r="C239">
        <v>52.2</v>
      </c>
    </row>
    <row r="240" spans="1:3">
      <c r="A240">
        <v>2107</v>
      </c>
      <c r="B240" t="s">
        <v>1386</v>
      </c>
      <c r="C240">
        <v>18.399999999999999</v>
      </c>
    </row>
    <row r="241" spans="1:3">
      <c r="A241">
        <v>2108</v>
      </c>
      <c r="B241" t="s">
        <v>1387</v>
      </c>
      <c r="C241">
        <v>28.45</v>
      </c>
    </row>
    <row r="242" spans="1:3">
      <c r="A242">
        <v>2109</v>
      </c>
      <c r="B242" t="s">
        <v>1388</v>
      </c>
      <c r="C242">
        <v>13.1</v>
      </c>
    </row>
    <row r="243" spans="1:3">
      <c r="A243">
        <v>2114</v>
      </c>
      <c r="B243" t="s">
        <v>1389</v>
      </c>
      <c r="C243">
        <v>78.7</v>
      </c>
    </row>
    <row r="244" spans="1:3">
      <c r="A244">
        <v>2115</v>
      </c>
      <c r="B244" t="s">
        <v>1390</v>
      </c>
      <c r="C244">
        <v>45.6</v>
      </c>
    </row>
    <row r="245" spans="1:3">
      <c r="A245">
        <v>2201</v>
      </c>
      <c r="B245" t="s">
        <v>1391</v>
      </c>
      <c r="C245">
        <v>34.15</v>
      </c>
    </row>
    <row r="246" spans="1:3">
      <c r="A246">
        <v>2204</v>
      </c>
      <c r="B246" t="s">
        <v>1392</v>
      </c>
      <c r="C246">
        <v>23.4</v>
      </c>
    </row>
    <row r="247" spans="1:3">
      <c r="A247">
        <v>2206</v>
      </c>
      <c r="B247" t="s">
        <v>1393</v>
      </c>
      <c r="C247">
        <v>22.2</v>
      </c>
    </row>
    <row r="248" spans="1:3">
      <c r="A248">
        <v>2207</v>
      </c>
      <c r="B248" t="s">
        <v>1394</v>
      </c>
      <c r="C248">
        <v>399.5</v>
      </c>
    </row>
    <row r="249" spans="1:3">
      <c r="A249">
        <v>2208</v>
      </c>
      <c r="B249" t="s">
        <v>1395</v>
      </c>
      <c r="C249">
        <v>13.45</v>
      </c>
    </row>
    <row r="250" spans="1:3">
      <c r="A250">
        <v>2227</v>
      </c>
      <c r="B250" t="s">
        <v>1396</v>
      </c>
      <c r="C250">
        <v>297</v>
      </c>
    </row>
    <row r="251" spans="1:3">
      <c r="A251">
        <v>2228</v>
      </c>
      <c r="B251" t="s">
        <v>1397</v>
      </c>
      <c r="C251">
        <v>174.5</v>
      </c>
    </row>
    <row r="252" spans="1:3">
      <c r="A252">
        <v>2231</v>
      </c>
      <c r="B252" t="s">
        <v>1398</v>
      </c>
      <c r="C252">
        <v>394.5</v>
      </c>
    </row>
    <row r="253" spans="1:3">
      <c r="A253">
        <v>2236</v>
      </c>
      <c r="B253" t="s">
        <v>1399</v>
      </c>
      <c r="C253">
        <v>27.05</v>
      </c>
    </row>
    <row r="254" spans="1:3">
      <c r="A254">
        <v>2301</v>
      </c>
      <c r="B254" t="s">
        <v>1400</v>
      </c>
      <c r="C254">
        <v>33.450000000000003</v>
      </c>
    </row>
    <row r="255" spans="1:3">
      <c r="A255">
        <v>2302</v>
      </c>
      <c r="B255" t="s">
        <v>1401</v>
      </c>
      <c r="C255">
        <v>6.38</v>
      </c>
    </row>
    <row r="256" spans="1:3">
      <c r="A256">
        <v>2303</v>
      </c>
      <c r="B256" t="s">
        <v>1402</v>
      </c>
      <c r="C256">
        <v>12.15</v>
      </c>
    </row>
    <row r="257" spans="1:3">
      <c r="A257">
        <v>2305</v>
      </c>
      <c r="B257" t="s">
        <v>1403</v>
      </c>
      <c r="C257">
        <v>7.3</v>
      </c>
    </row>
    <row r="258" spans="1:3">
      <c r="A258">
        <v>2308</v>
      </c>
      <c r="B258" t="s">
        <v>1404</v>
      </c>
      <c r="C258">
        <v>163</v>
      </c>
    </row>
    <row r="259" spans="1:3">
      <c r="A259">
        <v>2311</v>
      </c>
      <c r="B259" t="s">
        <v>1405</v>
      </c>
      <c r="C259">
        <v>37.700000000000003</v>
      </c>
    </row>
    <row r="260" spans="1:3">
      <c r="A260">
        <v>2312</v>
      </c>
      <c r="B260" t="s">
        <v>1406</v>
      </c>
      <c r="C260">
        <v>10.55</v>
      </c>
    </row>
    <row r="261" spans="1:3">
      <c r="A261">
        <v>2313</v>
      </c>
      <c r="B261" t="s">
        <v>1407</v>
      </c>
      <c r="C261">
        <v>22.6</v>
      </c>
    </row>
    <row r="262" spans="1:3">
      <c r="A262">
        <v>2314</v>
      </c>
      <c r="B262" t="s">
        <v>1408</v>
      </c>
      <c r="C262">
        <v>9.5</v>
      </c>
    </row>
    <row r="263" spans="1:3">
      <c r="A263">
        <v>2316</v>
      </c>
      <c r="B263" t="s">
        <v>1409</v>
      </c>
      <c r="C263">
        <v>26.45</v>
      </c>
    </row>
    <row r="264" spans="1:3">
      <c r="A264">
        <v>2317</v>
      </c>
      <c r="B264" t="s">
        <v>1410</v>
      </c>
      <c r="C264">
        <v>86.6</v>
      </c>
    </row>
    <row r="265" spans="1:3">
      <c r="A265">
        <v>2321</v>
      </c>
      <c r="B265" t="s">
        <v>1411</v>
      </c>
      <c r="C265">
        <v>1.56</v>
      </c>
    </row>
    <row r="266" spans="1:3">
      <c r="A266">
        <v>2323</v>
      </c>
      <c r="B266" t="s">
        <v>1412</v>
      </c>
      <c r="C266">
        <v>3.84</v>
      </c>
    </row>
    <row r="267" spans="1:3">
      <c r="A267">
        <v>2324</v>
      </c>
      <c r="B267" t="s">
        <v>1413</v>
      </c>
      <c r="C267">
        <v>20.399999999999999</v>
      </c>
    </row>
    <row r="268" spans="1:3">
      <c r="A268">
        <v>2325</v>
      </c>
      <c r="B268" t="s">
        <v>1414</v>
      </c>
      <c r="C268">
        <v>41.9</v>
      </c>
    </row>
    <row r="269" spans="1:3">
      <c r="A269">
        <v>2327</v>
      </c>
      <c r="B269" t="s">
        <v>1415</v>
      </c>
      <c r="C269">
        <v>52.8</v>
      </c>
    </row>
    <row r="270" spans="1:3">
      <c r="A270">
        <v>2328</v>
      </c>
      <c r="B270" t="s">
        <v>1416</v>
      </c>
      <c r="C270">
        <v>13.3</v>
      </c>
    </row>
    <row r="271" spans="1:3">
      <c r="A271">
        <v>2329</v>
      </c>
      <c r="B271" t="s">
        <v>1417</v>
      </c>
      <c r="C271">
        <v>12.25</v>
      </c>
    </row>
    <row r="272" spans="1:3">
      <c r="A272">
        <v>2330</v>
      </c>
      <c r="B272" t="s">
        <v>1418</v>
      </c>
      <c r="C272">
        <v>137.5</v>
      </c>
    </row>
    <row r="273" spans="1:3">
      <c r="A273">
        <v>2331</v>
      </c>
      <c r="B273" t="s">
        <v>1419</v>
      </c>
      <c r="C273">
        <v>22.55</v>
      </c>
    </row>
    <row r="274" spans="1:3">
      <c r="A274">
        <v>2332</v>
      </c>
      <c r="B274" t="s">
        <v>1420</v>
      </c>
      <c r="C274">
        <v>10.95</v>
      </c>
    </row>
    <row r="275" spans="1:3">
      <c r="A275">
        <v>2337</v>
      </c>
      <c r="B275" t="s">
        <v>1421</v>
      </c>
      <c r="C275">
        <v>4.8899999999999997</v>
      </c>
    </row>
    <row r="276" spans="1:3">
      <c r="A276">
        <v>2338</v>
      </c>
      <c r="B276" t="s">
        <v>1422</v>
      </c>
      <c r="C276">
        <v>8.1300000000000008</v>
      </c>
    </row>
    <row r="277" spans="1:3">
      <c r="A277">
        <v>2340</v>
      </c>
      <c r="B277" t="s">
        <v>1423</v>
      </c>
      <c r="C277">
        <v>10.5</v>
      </c>
    </row>
    <row r="278" spans="1:3">
      <c r="A278">
        <v>2342</v>
      </c>
      <c r="B278" t="s">
        <v>1424</v>
      </c>
      <c r="C278">
        <v>2.41</v>
      </c>
    </row>
    <row r="279" spans="1:3">
      <c r="A279">
        <v>2344</v>
      </c>
      <c r="B279" t="s">
        <v>1425</v>
      </c>
      <c r="C279">
        <v>7.73</v>
      </c>
    </row>
    <row r="280" spans="1:3">
      <c r="A280">
        <v>2345</v>
      </c>
      <c r="B280" t="s">
        <v>1426</v>
      </c>
      <c r="C280">
        <v>18.55</v>
      </c>
    </row>
    <row r="281" spans="1:3">
      <c r="A281">
        <v>2347</v>
      </c>
      <c r="B281" t="s">
        <v>1427</v>
      </c>
      <c r="C281">
        <v>33.799999999999997</v>
      </c>
    </row>
    <row r="282" spans="1:3">
      <c r="A282">
        <v>2348</v>
      </c>
      <c r="B282" t="s">
        <v>1428</v>
      </c>
      <c r="C282">
        <v>0</v>
      </c>
    </row>
    <row r="283" spans="1:3">
      <c r="A283">
        <v>2349</v>
      </c>
      <c r="B283" t="s">
        <v>1429</v>
      </c>
      <c r="C283">
        <v>3.01</v>
      </c>
    </row>
    <row r="284" spans="1:3">
      <c r="A284">
        <v>2351</v>
      </c>
      <c r="B284" t="s">
        <v>1430</v>
      </c>
      <c r="C284">
        <v>27.8</v>
      </c>
    </row>
    <row r="285" spans="1:3">
      <c r="A285">
        <v>2352</v>
      </c>
      <c r="B285" t="s">
        <v>1431</v>
      </c>
      <c r="C285">
        <v>11.25</v>
      </c>
    </row>
    <row r="286" spans="1:3">
      <c r="A286">
        <v>2353</v>
      </c>
      <c r="B286" t="s">
        <v>1432</v>
      </c>
      <c r="C286">
        <v>14.2</v>
      </c>
    </row>
    <row r="287" spans="1:3">
      <c r="A287">
        <v>2354</v>
      </c>
      <c r="B287" t="s">
        <v>1433</v>
      </c>
      <c r="C287">
        <v>88.3</v>
      </c>
    </row>
    <row r="288" spans="1:3">
      <c r="A288">
        <v>2355</v>
      </c>
      <c r="B288" t="s">
        <v>1434</v>
      </c>
      <c r="C288">
        <v>44.55</v>
      </c>
    </row>
    <row r="289" spans="1:3">
      <c r="A289">
        <v>2356</v>
      </c>
      <c r="B289" t="s">
        <v>1435</v>
      </c>
      <c r="C289">
        <v>18.25</v>
      </c>
    </row>
    <row r="290" spans="1:3">
      <c r="A290">
        <v>2357</v>
      </c>
      <c r="B290" t="s">
        <v>1436</v>
      </c>
      <c r="C290">
        <v>299.5</v>
      </c>
    </row>
    <row r="291" spans="1:3">
      <c r="A291">
        <v>2358</v>
      </c>
      <c r="B291" t="s">
        <v>1437</v>
      </c>
      <c r="C291">
        <v>9.64</v>
      </c>
    </row>
    <row r="292" spans="1:3">
      <c r="A292">
        <v>2359</v>
      </c>
      <c r="B292" t="s">
        <v>1438</v>
      </c>
      <c r="C292">
        <v>14.6</v>
      </c>
    </row>
    <row r="293" spans="1:3">
      <c r="A293">
        <v>2360</v>
      </c>
      <c r="B293" t="s">
        <v>1439</v>
      </c>
      <c r="C293">
        <v>60.5</v>
      </c>
    </row>
    <row r="294" spans="1:3">
      <c r="A294">
        <v>2361</v>
      </c>
      <c r="B294" t="s">
        <v>1440</v>
      </c>
      <c r="C294">
        <v>1.19</v>
      </c>
    </row>
    <row r="295" spans="1:3">
      <c r="A295">
        <v>2362</v>
      </c>
      <c r="B295" t="s">
        <v>1441</v>
      </c>
      <c r="C295">
        <v>36.5</v>
      </c>
    </row>
    <row r="296" spans="1:3">
      <c r="A296">
        <v>2363</v>
      </c>
      <c r="B296" t="s">
        <v>1442</v>
      </c>
      <c r="C296">
        <v>6.6</v>
      </c>
    </row>
    <row r="297" spans="1:3">
      <c r="A297">
        <v>2364</v>
      </c>
      <c r="B297" t="s">
        <v>1443</v>
      </c>
      <c r="C297">
        <v>5.23</v>
      </c>
    </row>
    <row r="298" spans="1:3">
      <c r="A298">
        <v>2365</v>
      </c>
      <c r="B298" t="s">
        <v>1444</v>
      </c>
      <c r="C298">
        <v>9.84</v>
      </c>
    </row>
    <row r="299" spans="1:3">
      <c r="A299">
        <v>2367</v>
      </c>
      <c r="B299" t="s">
        <v>1445</v>
      </c>
      <c r="C299">
        <v>11.55</v>
      </c>
    </row>
    <row r="300" spans="1:3">
      <c r="A300">
        <v>2368</v>
      </c>
      <c r="B300" t="s">
        <v>1446</v>
      </c>
      <c r="C300">
        <v>12</v>
      </c>
    </row>
    <row r="301" spans="1:3">
      <c r="A301">
        <v>2369</v>
      </c>
      <c r="B301" t="s">
        <v>1447</v>
      </c>
      <c r="C301">
        <v>10.25</v>
      </c>
    </row>
    <row r="302" spans="1:3">
      <c r="A302">
        <v>2371</v>
      </c>
      <c r="B302" t="s">
        <v>1448</v>
      </c>
      <c r="C302">
        <v>6.1</v>
      </c>
    </row>
    <row r="303" spans="1:3">
      <c r="A303">
        <v>2373</v>
      </c>
      <c r="B303" t="s">
        <v>1449</v>
      </c>
      <c r="C303">
        <v>52</v>
      </c>
    </row>
    <row r="304" spans="1:3">
      <c r="A304">
        <v>2374</v>
      </c>
      <c r="B304" t="s">
        <v>1450</v>
      </c>
      <c r="C304">
        <v>17.7</v>
      </c>
    </row>
    <row r="305" spans="1:3">
      <c r="A305">
        <v>2375</v>
      </c>
      <c r="B305" t="s">
        <v>1451</v>
      </c>
      <c r="C305">
        <v>15.2</v>
      </c>
    </row>
    <row r="306" spans="1:3">
      <c r="A306">
        <v>2376</v>
      </c>
      <c r="B306" t="s">
        <v>1452</v>
      </c>
      <c r="C306">
        <v>33.25</v>
      </c>
    </row>
    <row r="307" spans="1:3">
      <c r="A307">
        <v>2377</v>
      </c>
      <c r="B307" t="s">
        <v>1453</v>
      </c>
      <c r="C307">
        <v>32.75</v>
      </c>
    </row>
    <row r="308" spans="1:3">
      <c r="A308">
        <v>2379</v>
      </c>
      <c r="B308" t="s">
        <v>1454</v>
      </c>
      <c r="C308">
        <v>68</v>
      </c>
    </row>
    <row r="309" spans="1:3">
      <c r="A309">
        <v>2380</v>
      </c>
      <c r="B309" t="s">
        <v>1455</v>
      </c>
      <c r="C309">
        <v>7.43</v>
      </c>
    </row>
    <row r="310" spans="1:3">
      <c r="A310">
        <v>2382</v>
      </c>
      <c r="B310" t="s">
        <v>1456</v>
      </c>
      <c r="C310">
        <v>57.8</v>
      </c>
    </row>
    <row r="311" spans="1:3">
      <c r="A311">
        <v>2383</v>
      </c>
      <c r="B311" t="s">
        <v>1457</v>
      </c>
      <c r="C311">
        <v>67.7</v>
      </c>
    </row>
    <row r="312" spans="1:3">
      <c r="A312">
        <v>2385</v>
      </c>
      <c r="B312" t="s">
        <v>1458</v>
      </c>
      <c r="C312">
        <v>82.2</v>
      </c>
    </row>
    <row r="313" spans="1:3">
      <c r="A313">
        <v>2387</v>
      </c>
      <c r="B313" t="s">
        <v>1459</v>
      </c>
      <c r="C313">
        <v>14.9</v>
      </c>
    </row>
    <row r="314" spans="1:3">
      <c r="A314">
        <v>2388</v>
      </c>
      <c r="B314" t="s">
        <v>1460</v>
      </c>
      <c r="C314">
        <v>8.33</v>
      </c>
    </row>
    <row r="315" spans="1:3">
      <c r="A315">
        <v>2390</v>
      </c>
      <c r="B315" t="s">
        <v>1461</v>
      </c>
      <c r="C315">
        <v>23</v>
      </c>
    </row>
    <row r="316" spans="1:3">
      <c r="A316">
        <v>2392</v>
      </c>
      <c r="B316" t="s">
        <v>1462</v>
      </c>
      <c r="C316">
        <v>47.5</v>
      </c>
    </row>
    <row r="317" spans="1:3">
      <c r="A317">
        <v>2393</v>
      </c>
      <c r="B317" t="s">
        <v>1463</v>
      </c>
      <c r="C317">
        <v>48.25</v>
      </c>
    </row>
    <row r="318" spans="1:3">
      <c r="A318">
        <v>2395</v>
      </c>
      <c r="B318" t="s">
        <v>1464</v>
      </c>
      <c r="C318">
        <v>234</v>
      </c>
    </row>
    <row r="319" spans="1:3">
      <c r="A319">
        <v>2397</v>
      </c>
      <c r="B319" t="s">
        <v>1465</v>
      </c>
      <c r="C319">
        <v>39.1</v>
      </c>
    </row>
    <row r="320" spans="1:3">
      <c r="A320">
        <v>2399</v>
      </c>
      <c r="B320" t="s">
        <v>1466</v>
      </c>
      <c r="C320">
        <v>7.21</v>
      </c>
    </row>
    <row r="321" spans="1:3">
      <c r="A321">
        <v>2401</v>
      </c>
      <c r="B321" t="s">
        <v>1467</v>
      </c>
      <c r="C321">
        <v>13.25</v>
      </c>
    </row>
    <row r="322" spans="1:3">
      <c r="A322">
        <v>2402</v>
      </c>
      <c r="B322" t="s">
        <v>1468</v>
      </c>
      <c r="C322">
        <v>20.05</v>
      </c>
    </row>
    <row r="323" spans="1:3">
      <c r="A323">
        <v>2404</v>
      </c>
      <c r="B323" t="s">
        <v>1469</v>
      </c>
      <c r="C323">
        <v>38.85</v>
      </c>
    </row>
    <row r="324" spans="1:3">
      <c r="A324">
        <v>2405</v>
      </c>
      <c r="B324" t="s">
        <v>1470</v>
      </c>
      <c r="C324">
        <v>7.47</v>
      </c>
    </row>
    <row r="325" spans="1:3">
      <c r="A325">
        <v>2406</v>
      </c>
      <c r="B325" t="s">
        <v>1471</v>
      </c>
      <c r="C325">
        <v>26.25</v>
      </c>
    </row>
    <row r="326" spans="1:3">
      <c r="A326">
        <v>2408</v>
      </c>
      <c r="B326" t="s">
        <v>1472</v>
      </c>
      <c r="C326">
        <v>39.4</v>
      </c>
    </row>
    <row r="327" spans="1:3">
      <c r="A327">
        <v>2409</v>
      </c>
      <c r="B327" t="s">
        <v>1473</v>
      </c>
      <c r="C327">
        <v>9.8000000000000007</v>
      </c>
    </row>
    <row r="328" spans="1:3">
      <c r="A328">
        <v>2412</v>
      </c>
      <c r="B328" t="s">
        <v>1474</v>
      </c>
      <c r="C328">
        <v>99.9</v>
      </c>
    </row>
    <row r="329" spans="1:3">
      <c r="A329">
        <v>2413</v>
      </c>
      <c r="B329" t="s">
        <v>1475</v>
      </c>
      <c r="C329">
        <v>12.1</v>
      </c>
    </row>
    <row r="330" spans="1:3">
      <c r="A330">
        <v>2414</v>
      </c>
      <c r="B330" t="s">
        <v>1476</v>
      </c>
      <c r="C330">
        <v>16.45</v>
      </c>
    </row>
    <row r="331" spans="1:3">
      <c r="A331">
        <v>2415</v>
      </c>
      <c r="B331" t="s">
        <v>1477</v>
      </c>
      <c r="C331">
        <v>13.9</v>
      </c>
    </row>
    <row r="332" spans="1:3">
      <c r="A332">
        <v>2417</v>
      </c>
      <c r="B332" t="s">
        <v>1478</v>
      </c>
      <c r="C332">
        <v>10.75</v>
      </c>
    </row>
    <row r="333" spans="1:3">
      <c r="A333">
        <v>2419</v>
      </c>
      <c r="B333" t="s">
        <v>1479</v>
      </c>
      <c r="C333">
        <v>13.65</v>
      </c>
    </row>
    <row r="334" spans="1:3">
      <c r="A334">
        <v>2420</v>
      </c>
      <c r="B334" t="s">
        <v>1480</v>
      </c>
      <c r="C334">
        <v>38.75</v>
      </c>
    </row>
    <row r="335" spans="1:3">
      <c r="A335">
        <v>2421</v>
      </c>
      <c r="B335" t="s">
        <v>1481</v>
      </c>
      <c r="C335">
        <v>16.75</v>
      </c>
    </row>
    <row r="336" spans="1:3">
      <c r="A336">
        <v>2423</v>
      </c>
      <c r="B336" t="s">
        <v>1482</v>
      </c>
      <c r="C336">
        <v>17.05</v>
      </c>
    </row>
    <row r="337" spans="1:3">
      <c r="A337">
        <v>2424</v>
      </c>
      <c r="B337" t="s">
        <v>1483</v>
      </c>
      <c r="C337">
        <v>0</v>
      </c>
    </row>
    <row r="338" spans="1:3">
      <c r="A338">
        <v>2425</v>
      </c>
      <c r="B338" t="s">
        <v>1484</v>
      </c>
      <c r="C338">
        <v>15.3</v>
      </c>
    </row>
    <row r="339" spans="1:3">
      <c r="A339">
        <v>2426</v>
      </c>
      <c r="B339" t="s">
        <v>1485</v>
      </c>
      <c r="C339">
        <v>14.55</v>
      </c>
    </row>
    <row r="340" spans="1:3">
      <c r="A340">
        <v>2427</v>
      </c>
      <c r="B340" t="s">
        <v>1486</v>
      </c>
      <c r="C340">
        <v>6.61</v>
      </c>
    </row>
    <row r="341" spans="1:3">
      <c r="A341">
        <v>2428</v>
      </c>
      <c r="B341" t="s">
        <v>1487</v>
      </c>
      <c r="C341">
        <v>43.85</v>
      </c>
    </row>
    <row r="342" spans="1:3">
      <c r="A342">
        <v>2429</v>
      </c>
      <c r="B342" t="s">
        <v>1488</v>
      </c>
      <c r="C342">
        <v>0</v>
      </c>
    </row>
    <row r="343" spans="1:3">
      <c r="A343">
        <v>2430</v>
      </c>
      <c r="B343" t="s">
        <v>1489</v>
      </c>
      <c r="C343">
        <v>20</v>
      </c>
    </row>
    <row r="344" spans="1:3">
      <c r="A344">
        <v>2431</v>
      </c>
      <c r="B344" t="s">
        <v>1490</v>
      </c>
      <c r="C344">
        <v>16.149999999999999</v>
      </c>
    </row>
    <row r="345" spans="1:3">
      <c r="A345">
        <v>2433</v>
      </c>
      <c r="B345" t="s">
        <v>1491</v>
      </c>
      <c r="C345">
        <v>46.45</v>
      </c>
    </row>
    <row r="346" spans="1:3">
      <c r="A346">
        <v>2434</v>
      </c>
      <c r="B346" t="s">
        <v>1492</v>
      </c>
      <c r="C346">
        <v>6.3</v>
      </c>
    </row>
    <row r="347" spans="1:3">
      <c r="A347">
        <v>2436</v>
      </c>
      <c r="B347" t="s">
        <v>1493</v>
      </c>
      <c r="C347">
        <v>19.95</v>
      </c>
    </row>
    <row r="348" spans="1:3">
      <c r="A348">
        <v>2437</v>
      </c>
      <c r="B348" t="s">
        <v>1494</v>
      </c>
      <c r="C348">
        <v>49.35</v>
      </c>
    </row>
    <row r="349" spans="1:3">
      <c r="A349">
        <v>2438</v>
      </c>
      <c r="B349" t="s">
        <v>1495</v>
      </c>
      <c r="C349">
        <v>14.4</v>
      </c>
    </row>
    <row r="350" spans="1:3">
      <c r="A350">
        <v>2439</v>
      </c>
      <c r="B350" t="s">
        <v>1496</v>
      </c>
      <c r="C350">
        <v>66.2</v>
      </c>
    </row>
    <row r="351" spans="1:3">
      <c r="A351">
        <v>2440</v>
      </c>
      <c r="B351" t="s">
        <v>1497</v>
      </c>
      <c r="C351">
        <v>8.08</v>
      </c>
    </row>
    <row r="352" spans="1:3">
      <c r="A352">
        <v>2441</v>
      </c>
      <c r="B352" t="s">
        <v>1498</v>
      </c>
      <c r="C352">
        <v>31.2</v>
      </c>
    </row>
    <row r="353" spans="1:3">
      <c r="A353">
        <v>2442</v>
      </c>
      <c r="B353" t="s">
        <v>1499</v>
      </c>
      <c r="C353">
        <v>7.25</v>
      </c>
    </row>
    <row r="354" spans="1:3">
      <c r="A354">
        <v>2443</v>
      </c>
      <c r="B354" t="s">
        <v>1500</v>
      </c>
      <c r="C354">
        <v>7.84</v>
      </c>
    </row>
    <row r="355" spans="1:3">
      <c r="A355">
        <v>2444</v>
      </c>
      <c r="B355" t="s">
        <v>1501</v>
      </c>
      <c r="C355">
        <v>9.0399999999999991</v>
      </c>
    </row>
    <row r="356" spans="1:3">
      <c r="A356">
        <v>2448</v>
      </c>
      <c r="B356" t="s">
        <v>1502</v>
      </c>
      <c r="C356">
        <v>27.8</v>
      </c>
    </row>
    <row r="357" spans="1:3">
      <c r="A357">
        <v>2449</v>
      </c>
      <c r="B357" t="s">
        <v>1503</v>
      </c>
      <c r="C357">
        <v>21.9</v>
      </c>
    </row>
    <row r="358" spans="1:3">
      <c r="A358">
        <v>2450</v>
      </c>
      <c r="B358" t="s">
        <v>1504</v>
      </c>
      <c r="C358">
        <v>47.25</v>
      </c>
    </row>
    <row r="359" spans="1:3">
      <c r="A359">
        <v>2451</v>
      </c>
      <c r="B359" t="s">
        <v>1505</v>
      </c>
      <c r="C359">
        <v>92</v>
      </c>
    </row>
    <row r="360" spans="1:3">
      <c r="A360">
        <v>2453</v>
      </c>
      <c r="B360" t="s">
        <v>1506</v>
      </c>
      <c r="C360">
        <v>11.8</v>
      </c>
    </row>
    <row r="361" spans="1:3">
      <c r="A361">
        <v>2454</v>
      </c>
      <c r="B361" t="s">
        <v>1507</v>
      </c>
      <c r="C361">
        <v>267</v>
      </c>
    </row>
    <row r="362" spans="1:3">
      <c r="A362">
        <v>2455</v>
      </c>
      <c r="B362" t="s">
        <v>1508</v>
      </c>
      <c r="C362">
        <v>40.299999999999997</v>
      </c>
    </row>
    <row r="363" spans="1:3">
      <c r="A363">
        <v>2456</v>
      </c>
      <c r="B363" t="s">
        <v>1509</v>
      </c>
      <c r="C363">
        <v>47.55</v>
      </c>
    </row>
    <row r="364" spans="1:3">
      <c r="A364">
        <v>2457</v>
      </c>
      <c r="B364" t="s">
        <v>1510</v>
      </c>
      <c r="C364">
        <v>10.15</v>
      </c>
    </row>
    <row r="365" spans="1:3">
      <c r="A365">
        <v>2458</v>
      </c>
      <c r="B365" t="s">
        <v>1511</v>
      </c>
      <c r="C365">
        <v>37.700000000000003</v>
      </c>
    </row>
    <row r="366" spans="1:3">
      <c r="A366">
        <v>2459</v>
      </c>
      <c r="B366" t="s">
        <v>1512</v>
      </c>
      <c r="C366">
        <v>34</v>
      </c>
    </row>
    <row r="367" spans="1:3">
      <c r="A367">
        <v>2460</v>
      </c>
      <c r="B367" t="s">
        <v>1513</v>
      </c>
      <c r="C367">
        <v>9.5</v>
      </c>
    </row>
    <row r="368" spans="1:3">
      <c r="A368">
        <v>2461</v>
      </c>
      <c r="B368" t="s">
        <v>1514</v>
      </c>
      <c r="C368">
        <v>14.65</v>
      </c>
    </row>
    <row r="369" spans="1:3">
      <c r="A369">
        <v>2462</v>
      </c>
      <c r="B369" t="s">
        <v>1515</v>
      </c>
      <c r="C369">
        <v>15.95</v>
      </c>
    </row>
    <row r="370" spans="1:3">
      <c r="A370">
        <v>2464</v>
      </c>
      <c r="B370" t="s">
        <v>1516</v>
      </c>
      <c r="C370">
        <v>28.4</v>
      </c>
    </row>
    <row r="371" spans="1:3">
      <c r="A371">
        <v>2465</v>
      </c>
      <c r="B371" t="s">
        <v>1517</v>
      </c>
      <c r="C371">
        <v>9.01</v>
      </c>
    </row>
    <row r="372" spans="1:3">
      <c r="A372">
        <v>2466</v>
      </c>
      <c r="B372" t="s">
        <v>1518</v>
      </c>
      <c r="C372">
        <v>37</v>
      </c>
    </row>
    <row r="373" spans="1:3">
      <c r="A373">
        <v>2467</v>
      </c>
      <c r="B373" t="s">
        <v>1519</v>
      </c>
      <c r="C373">
        <v>15.7</v>
      </c>
    </row>
    <row r="374" spans="1:3">
      <c r="A374">
        <v>2468</v>
      </c>
      <c r="B374" t="s">
        <v>1520</v>
      </c>
      <c r="C374">
        <v>10.75</v>
      </c>
    </row>
    <row r="375" spans="1:3">
      <c r="A375">
        <v>2471</v>
      </c>
      <c r="B375" t="s">
        <v>1521</v>
      </c>
      <c r="C375">
        <v>14.75</v>
      </c>
    </row>
    <row r="376" spans="1:3">
      <c r="A376">
        <v>2472</v>
      </c>
      <c r="B376" t="s">
        <v>2459</v>
      </c>
      <c r="C376">
        <v>25.9</v>
      </c>
    </row>
    <row r="377" spans="1:3">
      <c r="A377">
        <v>2474</v>
      </c>
      <c r="B377" t="s">
        <v>1522</v>
      </c>
      <c r="C377">
        <v>329.5</v>
      </c>
    </row>
    <row r="378" spans="1:3">
      <c r="A378">
        <v>2475</v>
      </c>
      <c r="B378" t="s">
        <v>1523</v>
      </c>
      <c r="C378">
        <v>0.88</v>
      </c>
    </row>
    <row r="379" spans="1:3">
      <c r="A379">
        <v>2476</v>
      </c>
      <c r="B379" t="s">
        <v>1524</v>
      </c>
      <c r="C379">
        <v>22.25</v>
      </c>
    </row>
    <row r="380" spans="1:3">
      <c r="A380">
        <v>2477</v>
      </c>
      <c r="B380" t="s">
        <v>1525</v>
      </c>
      <c r="C380">
        <v>12.9</v>
      </c>
    </row>
    <row r="381" spans="1:3">
      <c r="A381">
        <v>2478</v>
      </c>
      <c r="B381" t="s">
        <v>1526</v>
      </c>
      <c r="C381">
        <v>14.8</v>
      </c>
    </row>
    <row r="382" spans="1:3">
      <c r="A382">
        <v>2480</v>
      </c>
      <c r="B382" t="s">
        <v>1527</v>
      </c>
      <c r="C382">
        <v>24.9</v>
      </c>
    </row>
    <row r="383" spans="1:3">
      <c r="A383">
        <v>2481</v>
      </c>
      <c r="B383" t="s">
        <v>1528</v>
      </c>
      <c r="C383">
        <v>13</v>
      </c>
    </row>
    <row r="384" spans="1:3">
      <c r="A384">
        <v>2482</v>
      </c>
      <c r="B384" t="s">
        <v>1529</v>
      </c>
      <c r="C384">
        <v>14.55</v>
      </c>
    </row>
    <row r="385" spans="1:3">
      <c r="A385">
        <v>2483</v>
      </c>
      <c r="B385" t="s">
        <v>1530</v>
      </c>
      <c r="C385">
        <v>17.75</v>
      </c>
    </row>
    <row r="386" spans="1:3">
      <c r="A386">
        <v>2484</v>
      </c>
      <c r="B386" t="s">
        <v>1531</v>
      </c>
      <c r="C386">
        <v>18.600000000000001</v>
      </c>
    </row>
    <row r="387" spans="1:3">
      <c r="A387">
        <v>2485</v>
      </c>
      <c r="B387" t="s">
        <v>1532</v>
      </c>
      <c r="C387">
        <v>37.25</v>
      </c>
    </row>
    <row r="388" spans="1:3">
      <c r="A388">
        <v>2486</v>
      </c>
      <c r="B388" t="s">
        <v>1533</v>
      </c>
      <c r="C388">
        <v>11.5</v>
      </c>
    </row>
    <row r="389" spans="1:3">
      <c r="A389">
        <v>2488</v>
      </c>
      <c r="B389" t="s">
        <v>1534</v>
      </c>
      <c r="C389">
        <v>30.7</v>
      </c>
    </row>
    <row r="390" spans="1:3">
      <c r="A390">
        <v>2489</v>
      </c>
      <c r="B390" t="s">
        <v>1535</v>
      </c>
      <c r="C390">
        <v>16.3</v>
      </c>
    </row>
    <row r="391" spans="1:3">
      <c r="A391">
        <v>2491</v>
      </c>
      <c r="B391" t="s">
        <v>1536</v>
      </c>
      <c r="C391">
        <v>8.43</v>
      </c>
    </row>
    <row r="392" spans="1:3">
      <c r="A392">
        <v>2492</v>
      </c>
      <c r="B392" t="s">
        <v>1537</v>
      </c>
      <c r="C392">
        <v>15.8</v>
      </c>
    </row>
    <row r="393" spans="1:3">
      <c r="A393">
        <v>2493</v>
      </c>
      <c r="B393" t="s">
        <v>1538</v>
      </c>
      <c r="C393">
        <v>21.65</v>
      </c>
    </row>
    <row r="394" spans="1:3">
      <c r="A394">
        <v>2495</v>
      </c>
      <c r="B394" t="s">
        <v>1539</v>
      </c>
      <c r="C394">
        <v>14.4</v>
      </c>
    </row>
    <row r="395" spans="1:3">
      <c r="A395">
        <v>2496</v>
      </c>
      <c r="B395" t="s">
        <v>1540</v>
      </c>
      <c r="C395">
        <v>7</v>
      </c>
    </row>
    <row r="396" spans="1:3">
      <c r="A396">
        <v>2497</v>
      </c>
      <c r="B396" t="s">
        <v>1541</v>
      </c>
      <c r="C396">
        <v>43.4</v>
      </c>
    </row>
    <row r="397" spans="1:3">
      <c r="A397">
        <v>2498</v>
      </c>
      <c r="B397" t="s">
        <v>1542</v>
      </c>
      <c r="C397">
        <v>79.2</v>
      </c>
    </row>
    <row r="398" spans="1:3">
      <c r="A398">
        <v>2499</v>
      </c>
      <c r="B398" t="s">
        <v>1543</v>
      </c>
      <c r="C398">
        <v>19.350000000000001</v>
      </c>
    </row>
    <row r="399" spans="1:3">
      <c r="A399">
        <v>2501</v>
      </c>
      <c r="B399" t="s">
        <v>1544</v>
      </c>
      <c r="C399">
        <v>14</v>
      </c>
    </row>
    <row r="400" spans="1:3">
      <c r="A400">
        <v>2504</v>
      </c>
      <c r="B400" t="s">
        <v>1545</v>
      </c>
      <c r="C400">
        <v>9.39</v>
      </c>
    </row>
    <row r="401" spans="1:3">
      <c r="A401">
        <v>2505</v>
      </c>
      <c r="B401" t="s">
        <v>1546</v>
      </c>
      <c r="C401">
        <v>11.7</v>
      </c>
    </row>
    <row r="402" spans="1:3">
      <c r="A402">
        <v>2506</v>
      </c>
      <c r="B402" t="s">
        <v>1547</v>
      </c>
      <c r="C402">
        <v>16.7</v>
      </c>
    </row>
    <row r="403" spans="1:3">
      <c r="A403">
        <v>2509</v>
      </c>
      <c r="B403" t="s">
        <v>1548</v>
      </c>
      <c r="C403">
        <v>23</v>
      </c>
    </row>
    <row r="404" spans="1:3">
      <c r="A404">
        <v>2511</v>
      </c>
      <c r="B404" t="s">
        <v>1549</v>
      </c>
      <c r="C404">
        <v>10.1</v>
      </c>
    </row>
    <row r="405" spans="1:3">
      <c r="A405">
        <v>2514</v>
      </c>
      <c r="B405" t="s">
        <v>1550</v>
      </c>
      <c r="C405">
        <v>20.9</v>
      </c>
    </row>
    <row r="406" spans="1:3">
      <c r="A406">
        <v>2515</v>
      </c>
      <c r="B406" t="s">
        <v>1551</v>
      </c>
      <c r="C406">
        <v>7.93</v>
      </c>
    </row>
    <row r="407" spans="1:3">
      <c r="A407">
        <v>2516</v>
      </c>
      <c r="B407" t="s">
        <v>1552</v>
      </c>
      <c r="C407">
        <v>6.73</v>
      </c>
    </row>
    <row r="408" spans="1:3">
      <c r="A408">
        <v>2520</v>
      </c>
      <c r="B408" t="s">
        <v>1553</v>
      </c>
      <c r="C408">
        <v>18.5</v>
      </c>
    </row>
    <row r="409" spans="1:3">
      <c r="A409">
        <v>2524</v>
      </c>
      <c r="B409" t="s">
        <v>1554</v>
      </c>
      <c r="C409">
        <v>19</v>
      </c>
    </row>
    <row r="410" spans="1:3">
      <c r="A410">
        <v>2527</v>
      </c>
      <c r="B410" t="s">
        <v>1555</v>
      </c>
      <c r="C410">
        <v>17.350000000000001</v>
      </c>
    </row>
    <row r="411" spans="1:3">
      <c r="A411">
        <v>2528</v>
      </c>
      <c r="B411" t="s">
        <v>1556</v>
      </c>
      <c r="C411">
        <v>9.56</v>
      </c>
    </row>
    <row r="412" spans="1:3">
      <c r="A412">
        <v>2530</v>
      </c>
      <c r="B412" t="s">
        <v>1557</v>
      </c>
      <c r="C412">
        <v>16.75</v>
      </c>
    </row>
    <row r="413" spans="1:3">
      <c r="A413">
        <v>2534</v>
      </c>
      <c r="B413" t="s">
        <v>1558</v>
      </c>
      <c r="C413">
        <v>15.85</v>
      </c>
    </row>
    <row r="414" spans="1:3">
      <c r="A414">
        <v>2535</v>
      </c>
      <c r="B414" t="s">
        <v>1559</v>
      </c>
      <c r="C414">
        <v>14.95</v>
      </c>
    </row>
    <row r="415" spans="1:3">
      <c r="A415">
        <v>2536</v>
      </c>
      <c r="B415" t="s">
        <v>1560</v>
      </c>
      <c r="C415">
        <v>21.95</v>
      </c>
    </row>
    <row r="416" spans="1:3">
      <c r="A416">
        <v>2537</v>
      </c>
      <c r="B416" t="s">
        <v>1561</v>
      </c>
      <c r="C416">
        <v>8.86</v>
      </c>
    </row>
    <row r="417" spans="1:3">
      <c r="A417">
        <v>2538</v>
      </c>
      <c r="B417" t="s">
        <v>1562</v>
      </c>
      <c r="C417">
        <v>16.45</v>
      </c>
    </row>
    <row r="418" spans="1:3">
      <c r="A418">
        <v>2539</v>
      </c>
      <c r="B418" t="s">
        <v>1563</v>
      </c>
      <c r="C418">
        <v>23.15</v>
      </c>
    </row>
    <row r="419" spans="1:3">
      <c r="A419">
        <v>2540</v>
      </c>
      <c r="B419" t="s">
        <v>1564</v>
      </c>
      <c r="C419">
        <v>30</v>
      </c>
    </row>
    <row r="420" spans="1:3">
      <c r="A420">
        <v>2542</v>
      </c>
      <c r="B420" t="s">
        <v>1565</v>
      </c>
      <c r="C420">
        <v>47.9</v>
      </c>
    </row>
    <row r="421" spans="1:3">
      <c r="A421">
        <v>2543</v>
      </c>
      <c r="B421" t="s">
        <v>1566</v>
      </c>
      <c r="C421">
        <v>8.31</v>
      </c>
    </row>
    <row r="422" spans="1:3">
      <c r="A422">
        <v>2545</v>
      </c>
      <c r="B422" t="s">
        <v>1567</v>
      </c>
      <c r="C422">
        <v>27.15</v>
      </c>
    </row>
    <row r="423" spans="1:3">
      <c r="A423">
        <v>2546</v>
      </c>
      <c r="B423" t="s">
        <v>1568</v>
      </c>
      <c r="C423">
        <v>14.95</v>
      </c>
    </row>
    <row r="424" spans="1:3">
      <c r="A424">
        <v>2547</v>
      </c>
      <c r="B424" t="s">
        <v>1569</v>
      </c>
      <c r="C424">
        <v>13</v>
      </c>
    </row>
    <row r="425" spans="1:3">
      <c r="A425">
        <v>2548</v>
      </c>
      <c r="B425" t="s">
        <v>1570</v>
      </c>
      <c r="C425">
        <v>58.5</v>
      </c>
    </row>
    <row r="426" spans="1:3">
      <c r="A426">
        <v>2597</v>
      </c>
      <c r="B426" t="s">
        <v>1571</v>
      </c>
      <c r="C426">
        <v>39</v>
      </c>
    </row>
    <row r="427" spans="1:3">
      <c r="A427">
        <v>2601</v>
      </c>
      <c r="B427" t="s">
        <v>1572</v>
      </c>
      <c r="C427">
        <v>12.1</v>
      </c>
    </row>
    <row r="428" spans="1:3">
      <c r="A428">
        <v>2603</v>
      </c>
      <c r="B428" t="s">
        <v>1573</v>
      </c>
      <c r="C428">
        <v>14.65</v>
      </c>
    </row>
    <row r="429" spans="1:3">
      <c r="A429">
        <v>2605</v>
      </c>
      <c r="B429" t="s">
        <v>1574</v>
      </c>
      <c r="C429">
        <v>18.649999999999999</v>
      </c>
    </row>
    <row r="430" spans="1:3">
      <c r="A430">
        <v>2606</v>
      </c>
      <c r="B430" t="s">
        <v>1575</v>
      </c>
      <c r="C430">
        <v>37.950000000000003</v>
      </c>
    </row>
    <row r="431" spans="1:3">
      <c r="A431">
        <v>2607</v>
      </c>
      <c r="B431" t="s">
        <v>1576</v>
      </c>
      <c r="C431">
        <v>14</v>
      </c>
    </row>
    <row r="432" spans="1:3">
      <c r="A432">
        <v>2608</v>
      </c>
      <c r="B432" t="s">
        <v>1577</v>
      </c>
      <c r="C432">
        <v>38.9</v>
      </c>
    </row>
    <row r="433" spans="1:3">
      <c r="A433">
        <v>2609</v>
      </c>
      <c r="B433" t="s">
        <v>1578</v>
      </c>
      <c r="C433">
        <v>9.99</v>
      </c>
    </row>
    <row r="434" spans="1:3">
      <c r="A434">
        <v>2610</v>
      </c>
      <c r="B434" t="s">
        <v>1579</v>
      </c>
      <c r="C434">
        <v>12</v>
      </c>
    </row>
    <row r="435" spans="1:3">
      <c r="A435">
        <v>2611</v>
      </c>
      <c r="B435" t="s">
        <v>1580</v>
      </c>
      <c r="C435">
        <v>8.14</v>
      </c>
    </row>
    <row r="436" spans="1:3">
      <c r="A436">
        <v>2612</v>
      </c>
      <c r="B436" t="s">
        <v>1581</v>
      </c>
      <c r="C436">
        <v>23.15</v>
      </c>
    </row>
    <row r="437" spans="1:3">
      <c r="A437">
        <v>2613</v>
      </c>
      <c r="B437" t="s">
        <v>1582</v>
      </c>
      <c r="C437">
        <v>15.25</v>
      </c>
    </row>
    <row r="438" spans="1:3">
      <c r="A438">
        <v>2614</v>
      </c>
      <c r="B438" t="s">
        <v>1583</v>
      </c>
      <c r="C438">
        <v>7.6</v>
      </c>
    </row>
    <row r="439" spans="1:3">
      <c r="A439">
        <v>2615</v>
      </c>
      <c r="B439" t="s">
        <v>1584</v>
      </c>
      <c r="C439">
        <v>22.25</v>
      </c>
    </row>
    <row r="440" spans="1:3">
      <c r="A440">
        <v>2616</v>
      </c>
      <c r="B440" t="s">
        <v>1585</v>
      </c>
      <c r="C440">
        <v>22.75</v>
      </c>
    </row>
    <row r="441" spans="1:3">
      <c r="A441">
        <v>2617</v>
      </c>
      <c r="B441" t="s">
        <v>1586</v>
      </c>
      <c r="C441">
        <v>13.7</v>
      </c>
    </row>
    <row r="442" spans="1:3">
      <c r="A442">
        <v>2618</v>
      </c>
      <c r="B442" t="s">
        <v>1587</v>
      </c>
      <c r="C442">
        <v>19.55</v>
      </c>
    </row>
    <row r="443" spans="1:3">
      <c r="A443">
        <v>2634</v>
      </c>
      <c r="B443" t="s">
        <v>1588</v>
      </c>
      <c r="C443">
        <v>41.35</v>
      </c>
    </row>
    <row r="444" spans="1:3">
      <c r="A444">
        <v>2637</v>
      </c>
      <c r="B444" t="s">
        <v>1589</v>
      </c>
      <c r="C444">
        <v>37.35</v>
      </c>
    </row>
    <row r="445" spans="1:3">
      <c r="A445">
        <v>2642</v>
      </c>
      <c r="B445" t="s">
        <v>1590</v>
      </c>
      <c r="C445">
        <v>32</v>
      </c>
    </row>
    <row r="446" spans="1:3">
      <c r="A446">
        <v>2701</v>
      </c>
      <c r="B446" t="s">
        <v>1591</v>
      </c>
      <c r="C446">
        <v>14.25</v>
      </c>
    </row>
    <row r="447" spans="1:3">
      <c r="A447">
        <v>2702</v>
      </c>
      <c r="B447" t="s">
        <v>1592</v>
      </c>
      <c r="C447">
        <v>14.3</v>
      </c>
    </row>
    <row r="448" spans="1:3">
      <c r="A448">
        <v>2704</v>
      </c>
      <c r="B448" t="s">
        <v>1593</v>
      </c>
      <c r="C448">
        <v>27.4</v>
      </c>
    </row>
    <row r="449" spans="1:3">
      <c r="A449">
        <v>2705</v>
      </c>
      <c r="B449" t="s">
        <v>1594</v>
      </c>
      <c r="C449">
        <v>10.25</v>
      </c>
    </row>
    <row r="450" spans="1:3">
      <c r="A450">
        <v>2706</v>
      </c>
      <c r="B450" t="s">
        <v>1595</v>
      </c>
      <c r="C450">
        <v>19.399999999999999</v>
      </c>
    </row>
    <row r="451" spans="1:3">
      <c r="A451">
        <v>2707</v>
      </c>
      <c r="B451" t="s">
        <v>1596</v>
      </c>
      <c r="C451">
        <v>219</v>
      </c>
    </row>
    <row r="452" spans="1:3">
      <c r="A452">
        <v>2712</v>
      </c>
      <c r="B452" t="s">
        <v>1597</v>
      </c>
      <c r="C452">
        <v>24</v>
      </c>
    </row>
    <row r="453" spans="1:3">
      <c r="A453">
        <v>2722</v>
      </c>
      <c r="B453" t="s">
        <v>1598</v>
      </c>
      <c r="C453">
        <v>44.95</v>
      </c>
    </row>
    <row r="454" spans="1:3">
      <c r="A454">
        <v>2723</v>
      </c>
      <c r="B454" t="s">
        <v>1599</v>
      </c>
      <c r="C454">
        <v>190.5</v>
      </c>
    </row>
    <row r="455" spans="1:3">
      <c r="A455">
        <v>2727</v>
      </c>
      <c r="B455" t="s">
        <v>1600</v>
      </c>
      <c r="C455">
        <v>190</v>
      </c>
    </row>
    <row r="456" spans="1:3">
      <c r="A456">
        <v>2731</v>
      </c>
      <c r="B456" t="s">
        <v>1601</v>
      </c>
      <c r="C456">
        <v>143.5</v>
      </c>
    </row>
    <row r="457" spans="1:3">
      <c r="A457">
        <v>2801</v>
      </c>
      <c r="B457" t="s">
        <v>1602</v>
      </c>
      <c r="C457">
        <v>16.95</v>
      </c>
    </row>
    <row r="458" spans="1:3">
      <c r="A458">
        <v>2809</v>
      </c>
      <c r="B458" t="s">
        <v>1603</v>
      </c>
      <c r="C458">
        <v>25.75</v>
      </c>
    </row>
    <row r="459" spans="1:3">
      <c r="A459">
        <v>2812</v>
      </c>
      <c r="B459" t="s">
        <v>1604</v>
      </c>
      <c r="C459">
        <v>9.84</v>
      </c>
    </row>
    <row r="460" spans="1:3">
      <c r="A460">
        <v>2816</v>
      </c>
      <c r="B460" t="s">
        <v>1605</v>
      </c>
      <c r="C460">
        <v>18.45</v>
      </c>
    </row>
    <row r="461" spans="1:3">
      <c r="A461">
        <v>2820</v>
      </c>
      <c r="B461" t="s">
        <v>1606</v>
      </c>
      <c r="C461">
        <v>11.35</v>
      </c>
    </row>
    <row r="462" spans="1:3">
      <c r="A462">
        <v>2823</v>
      </c>
      <c r="B462" t="s">
        <v>1607</v>
      </c>
      <c r="C462">
        <v>26.6</v>
      </c>
    </row>
    <row r="463" spans="1:3">
      <c r="A463">
        <v>2832</v>
      </c>
      <c r="B463" t="s">
        <v>1608</v>
      </c>
      <c r="C463">
        <v>22</v>
      </c>
    </row>
    <row r="464" spans="1:3">
      <c r="A464">
        <v>2834</v>
      </c>
      <c r="B464" t="s">
        <v>1609</v>
      </c>
      <c r="C464">
        <v>8.5</v>
      </c>
    </row>
    <row r="465" spans="1:3">
      <c r="A465">
        <v>2836</v>
      </c>
      <c r="B465" t="s">
        <v>1610</v>
      </c>
      <c r="C465">
        <v>8.93</v>
      </c>
    </row>
    <row r="466" spans="1:3">
      <c r="A466">
        <v>2838</v>
      </c>
      <c r="B466" t="s">
        <v>1611</v>
      </c>
      <c r="C466">
        <v>9.6300000000000008</v>
      </c>
    </row>
    <row r="467" spans="1:3">
      <c r="A467">
        <v>2841</v>
      </c>
      <c r="B467" t="s">
        <v>1612</v>
      </c>
      <c r="C467">
        <v>10.9</v>
      </c>
    </row>
    <row r="468" spans="1:3">
      <c r="A468">
        <v>2845</v>
      </c>
      <c r="B468" t="s">
        <v>1613</v>
      </c>
      <c r="C468">
        <v>10.15</v>
      </c>
    </row>
    <row r="469" spans="1:3">
      <c r="A469">
        <v>2847</v>
      </c>
      <c r="B469" t="s">
        <v>1614</v>
      </c>
      <c r="C469">
        <v>13.75</v>
      </c>
    </row>
    <row r="470" spans="1:3">
      <c r="A470">
        <v>2849</v>
      </c>
      <c r="B470" t="s">
        <v>1615</v>
      </c>
      <c r="C470">
        <v>16</v>
      </c>
    </row>
    <row r="471" spans="1:3">
      <c r="A471">
        <v>2850</v>
      </c>
      <c r="B471" t="s">
        <v>1616</v>
      </c>
      <c r="C471">
        <v>22.15</v>
      </c>
    </row>
    <row r="472" spans="1:3">
      <c r="A472">
        <v>2851</v>
      </c>
      <c r="B472" t="s">
        <v>1617</v>
      </c>
      <c r="C472">
        <v>15.5</v>
      </c>
    </row>
    <row r="473" spans="1:3">
      <c r="A473">
        <v>2852</v>
      </c>
      <c r="B473" t="s">
        <v>1618</v>
      </c>
      <c r="C473">
        <v>13.1</v>
      </c>
    </row>
    <row r="474" spans="1:3">
      <c r="A474">
        <v>2855</v>
      </c>
      <c r="B474" t="s">
        <v>1619</v>
      </c>
      <c r="C474">
        <v>13.95</v>
      </c>
    </row>
    <row r="475" spans="1:3">
      <c r="A475">
        <v>2856</v>
      </c>
      <c r="B475" t="s">
        <v>1620</v>
      </c>
      <c r="C475">
        <v>9.3000000000000007</v>
      </c>
    </row>
    <row r="476" spans="1:3">
      <c r="A476">
        <v>2867</v>
      </c>
      <c r="B476" t="s">
        <v>1621</v>
      </c>
      <c r="C476">
        <v>19.5</v>
      </c>
    </row>
    <row r="477" spans="1:3">
      <c r="A477">
        <v>2880</v>
      </c>
      <c r="B477" t="s">
        <v>1622</v>
      </c>
      <c r="C477">
        <v>15.9</v>
      </c>
    </row>
    <row r="478" spans="1:3">
      <c r="A478">
        <v>2881</v>
      </c>
      <c r="B478" t="s">
        <v>1623</v>
      </c>
      <c r="C478">
        <v>52.8</v>
      </c>
    </row>
    <row r="479" spans="1:3">
      <c r="A479">
        <v>2882</v>
      </c>
      <c r="B479" t="s">
        <v>1624</v>
      </c>
      <c r="C479">
        <v>46.25</v>
      </c>
    </row>
    <row r="480" spans="1:3">
      <c r="A480">
        <v>2883</v>
      </c>
      <c r="B480" t="s">
        <v>1625</v>
      </c>
      <c r="C480">
        <v>9.08</v>
      </c>
    </row>
    <row r="481" spans="1:3">
      <c r="A481">
        <v>2884</v>
      </c>
      <c r="B481" t="s">
        <v>1626</v>
      </c>
      <c r="C481">
        <v>19.850000000000001</v>
      </c>
    </row>
    <row r="482" spans="1:3">
      <c r="A482">
        <v>2885</v>
      </c>
      <c r="B482" t="s">
        <v>1627</v>
      </c>
      <c r="C482">
        <v>13.05</v>
      </c>
    </row>
    <row r="483" spans="1:3">
      <c r="A483">
        <v>2886</v>
      </c>
      <c r="B483" t="s">
        <v>1628</v>
      </c>
      <c r="C483">
        <v>23.5</v>
      </c>
    </row>
    <row r="484" spans="1:3">
      <c r="A484">
        <v>2887</v>
      </c>
      <c r="B484" t="s">
        <v>1629</v>
      </c>
      <c r="C484">
        <v>12.7</v>
      </c>
    </row>
    <row r="485" spans="1:3">
      <c r="A485">
        <v>2888</v>
      </c>
      <c r="B485" t="s">
        <v>1630</v>
      </c>
      <c r="C485">
        <v>8.14</v>
      </c>
    </row>
    <row r="486" spans="1:3">
      <c r="A486">
        <v>2889</v>
      </c>
      <c r="B486" t="s">
        <v>1631</v>
      </c>
      <c r="C486">
        <v>8.27</v>
      </c>
    </row>
    <row r="487" spans="1:3">
      <c r="A487">
        <v>2890</v>
      </c>
      <c r="B487" t="s">
        <v>1632</v>
      </c>
      <c r="C487">
        <v>10.95</v>
      </c>
    </row>
    <row r="488" spans="1:3">
      <c r="A488">
        <v>2891</v>
      </c>
      <c r="B488" t="s">
        <v>1633</v>
      </c>
      <c r="C488">
        <v>18.25</v>
      </c>
    </row>
    <row r="489" spans="1:3">
      <c r="A489" t="s">
        <v>1634</v>
      </c>
      <c r="B489" t="s">
        <v>1635</v>
      </c>
      <c r="C489">
        <v>0</v>
      </c>
    </row>
    <row r="490" spans="1:3">
      <c r="A490">
        <v>2892</v>
      </c>
      <c r="B490" t="s">
        <v>1636</v>
      </c>
      <c r="C490">
        <v>15.9</v>
      </c>
    </row>
    <row r="491" spans="1:3">
      <c r="A491">
        <v>2901</v>
      </c>
      <c r="B491" t="s">
        <v>1637</v>
      </c>
      <c r="C491">
        <v>27</v>
      </c>
    </row>
    <row r="492" spans="1:3">
      <c r="A492">
        <v>2903</v>
      </c>
      <c r="B492" t="s">
        <v>1638</v>
      </c>
      <c r="C492">
        <v>19.350000000000001</v>
      </c>
    </row>
    <row r="493" spans="1:3">
      <c r="A493">
        <v>2904</v>
      </c>
      <c r="B493" t="s">
        <v>1639</v>
      </c>
      <c r="C493">
        <v>25.85</v>
      </c>
    </row>
    <row r="494" spans="1:3">
      <c r="A494">
        <v>2905</v>
      </c>
      <c r="B494" t="s">
        <v>1640</v>
      </c>
      <c r="C494">
        <v>21.6</v>
      </c>
    </row>
    <row r="495" spans="1:3">
      <c r="A495">
        <v>2906</v>
      </c>
      <c r="B495" t="s">
        <v>1641</v>
      </c>
      <c r="C495">
        <v>12.65</v>
      </c>
    </row>
    <row r="496" spans="1:3">
      <c r="A496">
        <v>2908</v>
      </c>
      <c r="B496" t="s">
        <v>1642</v>
      </c>
      <c r="C496">
        <v>20.2</v>
      </c>
    </row>
    <row r="497" spans="1:3">
      <c r="A497">
        <v>2910</v>
      </c>
      <c r="B497" t="s">
        <v>1643</v>
      </c>
      <c r="C497">
        <v>26.05</v>
      </c>
    </row>
    <row r="498" spans="1:3">
      <c r="A498">
        <v>2911</v>
      </c>
      <c r="B498" t="s">
        <v>1644</v>
      </c>
      <c r="C498">
        <v>17.8</v>
      </c>
    </row>
    <row r="499" spans="1:3">
      <c r="A499">
        <v>2912</v>
      </c>
      <c r="B499" t="s">
        <v>1645</v>
      </c>
      <c r="C499">
        <v>218.5</v>
      </c>
    </row>
    <row r="500" spans="1:3">
      <c r="A500">
        <v>2913</v>
      </c>
      <c r="B500" t="s">
        <v>1646</v>
      </c>
      <c r="C500">
        <v>14.95</v>
      </c>
    </row>
    <row r="501" spans="1:3">
      <c r="A501">
        <v>2915</v>
      </c>
      <c r="B501" t="s">
        <v>1647</v>
      </c>
      <c r="C501">
        <v>59.8</v>
      </c>
    </row>
    <row r="502" spans="1:3">
      <c r="A502">
        <v>2923</v>
      </c>
      <c r="B502" t="s">
        <v>1648</v>
      </c>
      <c r="C502">
        <v>23.55</v>
      </c>
    </row>
    <row r="503" spans="1:3">
      <c r="A503">
        <v>2929</v>
      </c>
      <c r="B503" t="s">
        <v>1649</v>
      </c>
      <c r="C503">
        <v>129.5</v>
      </c>
    </row>
    <row r="504" spans="1:3">
      <c r="A504">
        <v>3002</v>
      </c>
      <c r="B504" t="s">
        <v>1650</v>
      </c>
      <c r="C504">
        <v>11.35</v>
      </c>
    </row>
    <row r="505" spans="1:3">
      <c r="A505">
        <v>3003</v>
      </c>
      <c r="B505" t="s">
        <v>1651</v>
      </c>
      <c r="C505">
        <v>39.799999999999997</v>
      </c>
    </row>
    <row r="506" spans="1:3">
      <c r="A506">
        <v>3004</v>
      </c>
      <c r="B506" t="s">
        <v>1652</v>
      </c>
      <c r="C506">
        <v>43.8</v>
      </c>
    </row>
    <row r="507" spans="1:3">
      <c r="A507">
        <v>3005</v>
      </c>
      <c r="B507" t="s">
        <v>1653</v>
      </c>
      <c r="C507">
        <v>21.95</v>
      </c>
    </row>
    <row r="508" spans="1:3">
      <c r="A508">
        <v>3006</v>
      </c>
      <c r="B508" t="s">
        <v>1654</v>
      </c>
      <c r="C508">
        <v>29.05</v>
      </c>
    </row>
    <row r="509" spans="1:3">
      <c r="A509">
        <v>3008</v>
      </c>
      <c r="B509" t="s">
        <v>1655</v>
      </c>
      <c r="C509">
        <v>2450</v>
      </c>
    </row>
    <row r="510" spans="1:3">
      <c r="A510">
        <v>3010</v>
      </c>
      <c r="B510" t="s">
        <v>1656</v>
      </c>
      <c r="C510">
        <v>46.75</v>
      </c>
    </row>
    <row r="511" spans="1:3">
      <c r="A511">
        <v>3011</v>
      </c>
      <c r="B511" t="s">
        <v>1657</v>
      </c>
      <c r="C511">
        <v>6.42</v>
      </c>
    </row>
    <row r="512" spans="1:3">
      <c r="A512">
        <v>3013</v>
      </c>
      <c r="B512" t="s">
        <v>1658</v>
      </c>
      <c r="C512">
        <v>22.2</v>
      </c>
    </row>
    <row r="513" spans="1:3">
      <c r="A513">
        <v>3014</v>
      </c>
      <c r="B513" t="s">
        <v>1659</v>
      </c>
      <c r="C513">
        <v>29.05</v>
      </c>
    </row>
    <row r="514" spans="1:3">
      <c r="A514">
        <v>3016</v>
      </c>
      <c r="B514" t="s">
        <v>1660</v>
      </c>
      <c r="C514">
        <v>15.05</v>
      </c>
    </row>
    <row r="515" spans="1:3">
      <c r="A515">
        <v>3017</v>
      </c>
      <c r="B515" t="s">
        <v>1661</v>
      </c>
      <c r="C515">
        <v>26.25</v>
      </c>
    </row>
    <row r="516" spans="1:3">
      <c r="A516">
        <v>3018</v>
      </c>
      <c r="B516" t="s">
        <v>1662</v>
      </c>
      <c r="C516">
        <v>16.649999999999999</v>
      </c>
    </row>
    <row r="517" spans="1:3">
      <c r="A517">
        <v>3019</v>
      </c>
      <c r="B517" t="s">
        <v>1663</v>
      </c>
      <c r="C517">
        <v>33.6</v>
      </c>
    </row>
    <row r="518" spans="1:3">
      <c r="A518">
        <v>3021</v>
      </c>
      <c r="B518" t="s">
        <v>1664</v>
      </c>
      <c r="C518">
        <v>12</v>
      </c>
    </row>
    <row r="519" spans="1:3">
      <c r="A519">
        <v>3022</v>
      </c>
      <c r="B519" t="s">
        <v>1665</v>
      </c>
      <c r="C519">
        <v>40.35</v>
      </c>
    </row>
    <row r="520" spans="1:3">
      <c r="A520">
        <v>3023</v>
      </c>
      <c r="B520" t="s">
        <v>1666</v>
      </c>
      <c r="C520">
        <v>56.4</v>
      </c>
    </row>
    <row r="521" spans="1:3">
      <c r="A521">
        <v>3024</v>
      </c>
      <c r="B521" t="s">
        <v>1667</v>
      </c>
      <c r="C521">
        <v>4.66</v>
      </c>
    </row>
    <row r="522" spans="1:3">
      <c r="A522">
        <v>3025</v>
      </c>
      <c r="B522" t="s">
        <v>1668</v>
      </c>
      <c r="C522">
        <v>8.34</v>
      </c>
    </row>
    <row r="523" spans="1:3">
      <c r="A523">
        <v>3026</v>
      </c>
      <c r="B523" t="s">
        <v>1669</v>
      </c>
      <c r="C523">
        <v>33.4</v>
      </c>
    </row>
    <row r="524" spans="1:3">
      <c r="A524">
        <v>3027</v>
      </c>
      <c r="B524" t="s">
        <v>1670</v>
      </c>
      <c r="C524">
        <v>14.2</v>
      </c>
    </row>
    <row r="525" spans="1:3">
      <c r="A525">
        <v>3028</v>
      </c>
      <c r="B525" t="s">
        <v>1671</v>
      </c>
      <c r="C525">
        <v>16.05</v>
      </c>
    </row>
    <row r="526" spans="1:3">
      <c r="A526">
        <v>3029</v>
      </c>
      <c r="B526" t="s">
        <v>1672</v>
      </c>
      <c r="C526">
        <v>20.95</v>
      </c>
    </row>
    <row r="527" spans="1:3">
      <c r="A527">
        <v>3030</v>
      </c>
      <c r="B527" t="s">
        <v>1673</v>
      </c>
      <c r="C527">
        <v>60.3</v>
      </c>
    </row>
    <row r="528" spans="1:3">
      <c r="A528">
        <v>3031</v>
      </c>
      <c r="B528" t="s">
        <v>1674</v>
      </c>
      <c r="C528">
        <v>10.35</v>
      </c>
    </row>
    <row r="529" spans="1:3">
      <c r="A529">
        <v>3032</v>
      </c>
      <c r="B529" t="s">
        <v>1675</v>
      </c>
      <c r="C529">
        <v>20.8</v>
      </c>
    </row>
    <row r="530" spans="1:3">
      <c r="A530">
        <v>3033</v>
      </c>
      <c r="B530" t="s">
        <v>1676</v>
      </c>
      <c r="C530">
        <v>19.55</v>
      </c>
    </row>
    <row r="531" spans="1:3">
      <c r="A531">
        <v>3034</v>
      </c>
      <c r="B531" t="s">
        <v>1677</v>
      </c>
      <c r="C531">
        <v>115</v>
      </c>
    </row>
    <row r="532" spans="1:3">
      <c r="A532">
        <v>3035</v>
      </c>
      <c r="B532" t="s">
        <v>1678</v>
      </c>
      <c r="C532">
        <v>53.3</v>
      </c>
    </row>
    <row r="533" spans="1:3">
      <c r="A533">
        <v>3036</v>
      </c>
      <c r="B533" t="s">
        <v>1679</v>
      </c>
      <c r="C533">
        <v>36.25</v>
      </c>
    </row>
    <row r="534" spans="1:3">
      <c r="A534">
        <v>3037</v>
      </c>
      <c r="B534" t="s">
        <v>1680</v>
      </c>
      <c r="C534">
        <v>14.15</v>
      </c>
    </row>
    <row r="535" spans="1:3">
      <c r="A535">
        <v>3038</v>
      </c>
      <c r="B535" t="s">
        <v>1681</v>
      </c>
      <c r="C535">
        <v>8.4</v>
      </c>
    </row>
    <row r="536" spans="1:3">
      <c r="A536">
        <v>3040</v>
      </c>
      <c r="B536" t="s">
        <v>1682</v>
      </c>
      <c r="C536">
        <v>37.9</v>
      </c>
    </row>
    <row r="537" spans="1:3">
      <c r="A537">
        <v>3041</v>
      </c>
      <c r="B537" t="s">
        <v>1683</v>
      </c>
      <c r="C537">
        <v>15.55</v>
      </c>
    </row>
    <row r="538" spans="1:3">
      <c r="A538">
        <v>3042</v>
      </c>
      <c r="B538" t="s">
        <v>1684</v>
      </c>
      <c r="C538">
        <v>36.85</v>
      </c>
    </row>
    <row r="539" spans="1:3">
      <c r="A539">
        <v>3043</v>
      </c>
      <c r="B539" t="s">
        <v>1685</v>
      </c>
      <c r="C539">
        <v>2.67</v>
      </c>
    </row>
    <row r="540" spans="1:3">
      <c r="A540">
        <v>3044</v>
      </c>
      <c r="B540" t="s">
        <v>1686</v>
      </c>
      <c r="C540">
        <v>49.7</v>
      </c>
    </row>
    <row r="541" spans="1:3">
      <c r="A541">
        <v>3045</v>
      </c>
      <c r="B541" t="s">
        <v>1687</v>
      </c>
      <c r="C541">
        <v>102</v>
      </c>
    </row>
    <row r="542" spans="1:3">
      <c r="A542">
        <v>3046</v>
      </c>
      <c r="B542" t="s">
        <v>1688</v>
      </c>
      <c r="C542">
        <v>11.75</v>
      </c>
    </row>
    <row r="543" spans="1:3">
      <c r="A543">
        <v>3047</v>
      </c>
      <c r="B543" t="s">
        <v>1689</v>
      </c>
      <c r="C543">
        <v>10.8</v>
      </c>
    </row>
    <row r="544" spans="1:3">
      <c r="A544">
        <v>3048</v>
      </c>
      <c r="B544" t="s">
        <v>1690</v>
      </c>
      <c r="C544">
        <v>21.35</v>
      </c>
    </row>
    <row r="545" spans="1:3">
      <c r="A545">
        <v>3049</v>
      </c>
      <c r="B545" t="s">
        <v>1691</v>
      </c>
      <c r="C545">
        <v>5.15</v>
      </c>
    </row>
    <row r="546" spans="1:3">
      <c r="A546">
        <v>3050</v>
      </c>
      <c r="B546" t="s">
        <v>1692</v>
      </c>
      <c r="C546">
        <v>7.6</v>
      </c>
    </row>
    <row r="547" spans="1:3">
      <c r="A547">
        <v>3051</v>
      </c>
      <c r="B547" t="s">
        <v>1693</v>
      </c>
      <c r="C547">
        <v>6.96</v>
      </c>
    </row>
    <row r="548" spans="1:3">
      <c r="A548">
        <v>3052</v>
      </c>
      <c r="B548" t="s">
        <v>1694</v>
      </c>
      <c r="C548">
        <v>9.6</v>
      </c>
    </row>
    <row r="549" spans="1:3">
      <c r="A549">
        <v>3054</v>
      </c>
      <c r="B549" t="s">
        <v>1695</v>
      </c>
      <c r="C549">
        <v>17.8</v>
      </c>
    </row>
    <row r="550" spans="1:3">
      <c r="A550">
        <v>3055</v>
      </c>
      <c r="B550" t="s">
        <v>1696</v>
      </c>
      <c r="C550">
        <v>13.1</v>
      </c>
    </row>
    <row r="551" spans="1:3">
      <c r="A551">
        <v>3056</v>
      </c>
      <c r="B551" t="s">
        <v>1697</v>
      </c>
      <c r="C551">
        <v>12.6</v>
      </c>
    </row>
    <row r="552" spans="1:3">
      <c r="A552">
        <v>3057</v>
      </c>
      <c r="B552" t="s">
        <v>1698</v>
      </c>
      <c r="C552">
        <v>19.5</v>
      </c>
    </row>
    <row r="553" spans="1:3">
      <c r="A553">
        <v>3058</v>
      </c>
      <c r="B553" t="s">
        <v>1699</v>
      </c>
      <c r="C553">
        <v>9.43</v>
      </c>
    </row>
    <row r="554" spans="1:3">
      <c r="A554">
        <v>3059</v>
      </c>
      <c r="B554" t="s">
        <v>1700</v>
      </c>
      <c r="C554">
        <v>28.3</v>
      </c>
    </row>
    <row r="555" spans="1:3">
      <c r="A555">
        <v>3060</v>
      </c>
      <c r="B555" t="s">
        <v>1701</v>
      </c>
      <c r="C555">
        <v>61.8</v>
      </c>
    </row>
    <row r="556" spans="1:3">
      <c r="A556">
        <v>3062</v>
      </c>
      <c r="B556" t="s">
        <v>1702</v>
      </c>
      <c r="C556">
        <v>17</v>
      </c>
    </row>
    <row r="557" spans="1:3">
      <c r="A557">
        <v>3090</v>
      </c>
      <c r="B557" t="s">
        <v>1703</v>
      </c>
      <c r="C557">
        <v>23.75</v>
      </c>
    </row>
    <row r="558" spans="1:3">
      <c r="A558">
        <v>3094</v>
      </c>
      <c r="B558" t="s">
        <v>1704</v>
      </c>
      <c r="C558">
        <v>29</v>
      </c>
    </row>
    <row r="559" spans="1:3">
      <c r="A559">
        <v>3130</v>
      </c>
      <c r="B559" t="s">
        <v>1705</v>
      </c>
      <c r="C559">
        <v>151.5</v>
      </c>
    </row>
    <row r="560" spans="1:3">
      <c r="A560">
        <v>3149</v>
      </c>
      <c r="B560" t="s">
        <v>1706</v>
      </c>
      <c r="C560">
        <v>15.15</v>
      </c>
    </row>
    <row r="561" spans="1:3">
      <c r="A561">
        <v>3164</v>
      </c>
      <c r="B561" t="s">
        <v>1707</v>
      </c>
      <c r="C561">
        <v>30.15</v>
      </c>
    </row>
    <row r="562" spans="1:3">
      <c r="A562">
        <v>3167</v>
      </c>
      <c r="B562" t="s">
        <v>1708</v>
      </c>
      <c r="C562">
        <v>28.9</v>
      </c>
    </row>
    <row r="563" spans="1:3">
      <c r="A563">
        <v>3189</v>
      </c>
      <c r="B563" t="s">
        <v>1709</v>
      </c>
      <c r="C563">
        <v>70.900000000000006</v>
      </c>
    </row>
    <row r="564" spans="1:3">
      <c r="A564">
        <v>3209</v>
      </c>
      <c r="B564" t="s">
        <v>1710</v>
      </c>
      <c r="C564">
        <v>24.9</v>
      </c>
    </row>
    <row r="565" spans="1:3">
      <c r="A565">
        <v>3229</v>
      </c>
      <c r="B565" t="s">
        <v>1711</v>
      </c>
      <c r="C565">
        <v>20.2</v>
      </c>
    </row>
    <row r="566" spans="1:3">
      <c r="A566">
        <v>3231</v>
      </c>
      <c r="B566" t="s">
        <v>1712</v>
      </c>
      <c r="C566">
        <v>17.75</v>
      </c>
    </row>
    <row r="567" spans="1:3">
      <c r="A567">
        <v>3257</v>
      </c>
      <c r="B567" t="s">
        <v>1713</v>
      </c>
      <c r="C567">
        <v>39.299999999999997</v>
      </c>
    </row>
    <row r="568" spans="1:3">
      <c r="A568">
        <v>3266</v>
      </c>
      <c r="B568" t="s">
        <v>1714</v>
      </c>
      <c r="C568">
        <v>13.35</v>
      </c>
    </row>
    <row r="569" spans="1:3">
      <c r="A569">
        <v>3296</v>
      </c>
      <c r="B569" t="s">
        <v>1715</v>
      </c>
      <c r="C569">
        <v>16.2</v>
      </c>
    </row>
    <row r="570" spans="1:3">
      <c r="A570">
        <v>3305</v>
      </c>
      <c r="B570" t="s">
        <v>1716</v>
      </c>
      <c r="C570">
        <v>24</v>
      </c>
    </row>
    <row r="571" spans="1:3">
      <c r="A571">
        <v>3308</v>
      </c>
      <c r="B571" t="s">
        <v>1717</v>
      </c>
      <c r="C571">
        <v>8.39</v>
      </c>
    </row>
    <row r="572" spans="1:3">
      <c r="A572">
        <v>3311</v>
      </c>
      <c r="B572" t="s">
        <v>1718</v>
      </c>
      <c r="C572">
        <v>19.899999999999999</v>
      </c>
    </row>
    <row r="573" spans="1:3">
      <c r="A573">
        <v>3312</v>
      </c>
      <c r="B573" t="s">
        <v>1719</v>
      </c>
      <c r="C573">
        <v>7.3</v>
      </c>
    </row>
    <row r="574" spans="1:3">
      <c r="A574">
        <v>3315</v>
      </c>
      <c r="B574" t="s">
        <v>1720</v>
      </c>
      <c r="C574">
        <v>17.600000000000001</v>
      </c>
    </row>
    <row r="575" spans="1:3">
      <c r="A575">
        <v>3338</v>
      </c>
      <c r="B575" t="s">
        <v>1721</v>
      </c>
      <c r="C575">
        <v>25.5</v>
      </c>
    </row>
    <row r="576" spans="1:3">
      <c r="A576">
        <v>3356</v>
      </c>
      <c r="B576" t="s">
        <v>1722</v>
      </c>
      <c r="C576">
        <v>83.2</v>
      </c>
    </row>
    <row r="577" spans="1:3">
      <c r="A577">
        <v>3376</v>
      </c>
      <c r="B577" t="s">
        <v>1723</v>
      </c>
      <c r="C577">
        <v>95.9</v>
      </c>
    </row>
    <row r="578" spans="1:3">
      <c r="A578">
        <v>3380</v>
      </c>
      <c r="B578" t="s">
        <v>1724</v>
      </c>
      <c r="C578">
        <v>16.75</v>
      </c>
    </row>
    <row r="579" spans="1:3">
      <c r="A579">
        <v>3383</v>
      </c>
      <c r="B579" t="s">
        <v>1725</v>
      </c>
      <c r="C579">
        <v>9.17</v>
      </c>
    </row>
    <row r="580" spans="1:3">
      <c r="A580">
        <v>3406</v>
      </c>
      <c r="B580" t="s">
        <v>1726</v>
      </c>
      <c r="C580">
        <v>68</v>
      </c>
    </row>
    <row r="581" spans="1:3">
      <c r="A581">
        <v>3413</v>
      </c>
      <c r="B581" t="s">
        <v>1727</v>
      </c>
      <c r="C581">
        <v>64</v>
      </c>
    </row>
    <row r="582" spans="1:3">
      <c r="A582">
        <v>3416</v>
      </c>
      <c r="B582" t="s">
        <v>1728</v>
      </c>
      <c r="C582">
        <v>54.4</v>
      </c>
    </row>
    <row r="583" spans="1:3">
      <c r="A583">
        <v>3419</v>
      </c>
      <c r="B583" t="s">
        <v>1729</v>
      </c>
      <c r="C583">
        <v>13.4</v>
      </c>
    </row>
    <row r="584" spans="1:3">
      <c r="A584">
        <v>3432</v>
      </c>
      <c r="B584" t="s">
        <v>1730</v>
      </c>
      <c r="C584">
        <v>14.1</v>
      </c>
    </row>
    <row r="585" spans="1:3">
      <c r="A585">
        <v>3437</v>
      </c>
      <c r="B585" t="s">
        <v>1731</v>
      </c>
      <c r="C585">
        <v>26.2</v>
      </c>
    </row>
    <row r="586" spans="1:3">
      <c r="A586">
        <v>3443</v>
      </c>
      <c r="B586" t="s">
        <v>1732</v>
      </c>
      <c r="C586">
        <v>66.7</v>
      </c>
    </row>
    <row r="587" spans="1:3">
      <c r="A587">
        <v>3450</v>
      </c>
      <c r="B587" t="s">
        <v>1733</v>
      </c>
      <c r="C587">
        <v>139.5</v>
      </c>
    </row>
    <row r="588" spans="1:3">
      <c r="A588">
        <v>3454</v>
      </c>
      <c r="B588" t="s">
        <v>1734</v>
      </c>
      <c r="C588">
        <v>83.5</v>
      </c>
    </row>
    <row r="589" spans="1:3">
      <c r="A589">
        <v>3474</v>
      </c>
      <c r="B589" t="s">
        <v>1735</v>
      </c>
      <c r="C589">
        <v>22.9</v>
      </c>
    </row>
    <row r="590" spans="1:3">
      <c r="A590">
        <v>3481</v>
      </c>
      <c r="B590" t="s">
        <v>1736</v>
      </c>
      <c r="C590">
        <v>10.95</v>
      </c>
    </row>
    <row r="591" spans="1:3">
      <c r="A591">
        <v>3494</v>
      </c>
      <c r="B591" t="s">
        <v>1737</v>
      </c>
      <c r="C591">
        <v>15.05</v>
      </c>
    </row>
    <row r="592" spans="1:3">
      <c r="A592">
        <v>3501</v>
      </c>
      <c r="B592" t="s">
        <v>1738</v>
      </c>
      <c r="C592">
        <v>47.6</v>
      </c>
    </row>
    <row r="593" spans="1:3">
      <c r="A593">
        <v>3504</v>
      </c>
      <c r="B593" t="s">
        <v>1739</v>
      </c>
      <c r="C593">
        <v>40</v>
      </c>
    </row>
    <row r="594" spans="1:3">
      <c r="A594">
        <v>3514</v>
      </c>
      <c r="B594" t="s">
        <v>1740</v>
      </c>
      <c r="C594">
        <v>23.5</v>
      </c>
    </row>
    <row r="595" spans="1:3">
      <c r="A595">
        <v>3515</v>
      </c>
      <c r="B595" t="s">
        <v>1741</v>
      </c>
      <c r="C595">
        <v>39.25</v>
      </c>
    </row>
    <row r="596" spans="1:3">
      <c r="A596">
        <v>3518</v>
      </c>
      <c r="B596" t="s">
        <v>1742</v>
      </c>
      <c r="C596">
        <v>36.9</v>
      </c>
    </row>
    <row r="597" spans="1:3">
      <c r="A597">
        <v>3519</v>
      </c>
      <c r="B597" t="s">
        <v>1743</v>
      </c>
      <c r="C597">
        <v>16.850000000000001</v>
      </c>
    </row>
    <row r="598" spans="1:3">
      <c r="A598">
        <v>3532</v>
      </c>
      <c r="B598" t="s">
        <v>1744</v>
      </c>
      <c r="C598">
        <v>41.5</v>
      </c>
    </row>
    <row r="599" spans="1:3">
      <c r="A599">
        <v>3533</v>
      </c>
      <c r="B599" t="s">
        <v>1745</v>
      </c>
      <c r="C599">
        <v>102.5</v>
      </c>
    </row>
    <row r="600" spans="1:3">
      <c r="A600">
        <v>3535</v>
      </c>
      <c r="B600" t="s">
        <v>1746</v>
      </c>
      <c r="C600">
        <v>10.6</v>
      </c>
    </row>
    <row r="601" spans="1:3">
      <c r="A601">
        <v>3536</v>
      </c>
      <c r="B601" t="s">
        <v>1747</v>
      </c>
      <c r="C601">
        <v>6.44</v>
      </c>
    </row>
    <row r="602" spans="1:3">
      <c r="A602">
        <v>3545</v>
      </c>
      <c r="B602" t="s">
        <v>1748</v>
      </c>
      <c r="C602">
        <v>25.15</v>
      </c>
    </row>
    <row r="603" spans="1:3">
      <c r="A603">
        <v>3550</v>
      </c>
      <c r="B603" t="s">
        <v>1749</v>
      </c>
      <c r="C603">
        <v>11.65</v>
      </c>
    </row>
    <row r="604" spans="1:3">
      <c r="A604">
        <v>3557</v>
      </c>
      <c r="B604" t="s">
        <v>1750</v>
      </c>
      <c r="C604">
        <v>4.38</v>
      </c>
    </row>
    <row r="605" spans="1:3">
      <c r="A605">
        <v>3559</v>
      </c>
      <c r="B605" t="s">
        <v>1751</v>
      </c>
      <c r="C605">
        <v>21.35</v>
      </c>
    </row>
    <row r="606" spans="1:3">
      <c r="A606">
        <v>3561</v>
      </c>
      <c r="B606" t="s">
        <v>1752</v>
      </c>
      <c r="C606">
        <v>17.649999999999999</v>
      </c>
    </row>
    <row r="607" spans="1:3">
      <c r="A607">
        <v>3573</v>
      </c>
      <c r="B607" t="s">
        <v>1753</v>
      </c>
      <c r="C607">
        <v>18.350000000000001</v>
      </c>
    </row>
    <row r="608" spans="1:3">
      <c r="A608">
        <v>3576</v>
      </c>
      <c r="B608" t="s">
        <v>1754</v>
      </c>
      <c r="C608">
        <v>22.25</v>
      </c>
    </row>
    <row r="609" spans="1:3">
      <c r="A609">
        <v>3579</v>
      </c>
      <c r="B609" t="s">
        <v>1755</v>
      </c>
      <c r="C609">
        <v>14.2</v>
      </c>
    </row>
    <row r="610" spans="1:3">
      <c r="A610">
        <v>3583</v>
      </c>
      <c r="B610" t="s">
        <v>1756</v>
      </c>
      <c r="C610">
        <v>62.5</v>
      </c>
    </row>
    <row r="611" spans="1:3">
      <c r="A611">
        <v>3584</v>
      </c>
      <c r="B611" t="s">
        <v>1757</v>
      </c>
      <c r="C611">
        <v>8.57</v>
      </c>
    </row>
    <row r="612" spans="1:3">
      <c r="A612">
        <v>3588</v>
      </c>
      <c r="B612" t="s">
        <v>1758</v>
      </c>
      <c r="C612">
        <v>31.6</v>
      </c>
    </row>
    <row r="613" spans="1:3">
      <c r="A613">
        <v>3591</v>
      </c>
      <c r="B613" t="s">
        <v>1759</v>
      </c>
      <c r="C613">
        <v>19.05</v>
      </c>
    </row>
    <row r="614" spans="1:3">
      <c r="A614">
        <v>3593</v>
      </c>
      <c r="B614" t="s">
        <v>1760</v>
      </c>
      <c r="C614">
        <v>8.5399999999999991</v>
      </c>
    </row>
    <row r="615" spans="1:3">
      <c r="A615">
        <v>3596</v>
      </c>
      <c r="B615" t="s">
        <v>1761</v>
      </c>
      <c r="C615">
        <v>30.4</v>
      </c>
    </row>
    <row r="616" spans="1:3">
      <c r="A616">
        <v>3598</v>
      </c>
      <c r="B616" t="s">
        <v>1762</v>
      </c>
      <c r="C616">
        <v>49.1</v>
      </c>
    </row>
    <row r="617" spans="1:3">
      <c r="A617">
        <v>3605</v>
      </c>
      <c r="B617" t="s">
        <v>1763</v>
      </c>
      <c r="C617">
        <v>23.6</v>
      </c>
    </row>
    <row r="618" spans="1:3">
      <c r="A618">
        <v>3607</v>
      </c>
      <c r="B618" t="s">
        <v>1764</v>
      </c>
      <c r="C618">
        <v>60.4</v>
      </c>
    </row>
    <row r="619" spans="1:3">
      <c r="A619">
        <v>3617</v>
      </c>
      <c r="B619" t="s">
        <v>1765</v>
      </c>
      <c r="C619">
        <v>80.7</v>
      </c>
    </row>
    <row r="620" spans="1:3">
      <c r="A620">
        <v>3622</v>
      </c>
      <c r="B620" t="s">
        <v>1766</v>
      </c>
      <c r="C620">
        <v>11.85</v>
      </c>
    </row>
    <row r="621" spans="1:3">
      <c r="A621">
        <v>3645</v>
      </c>
      <c r="B621" t="s">
        <v>1767</v>
      </c>
      <c r="C621">
        <v>32.200000000000003</v>
      </c>
    </row>
    <row r="622" spans="1:3">
      <c r="A622">
        <v>3653</v>
      </c>
      <c r="B622" t="s">
        <v>1768</v>
      </c>
      <c r="C622">
        <v>47.4</v>
      </c>
    </row>
    <row r="623" spans="1:3">
      <c r="A623">
        <v>3661</v>
      </c>
      <c r="B623" t="s">
        <v>1769</v>
      </c>
      <c r="C623">
        <v>42.65</v>
      </c>
    </row>
    <row r="624" spans="1:3">
      <c r="A624">
        <v>3665</v>
      </c>
      <c r="B624" t="s">
        <v>1770</v>
      </c>
      <c r="C624">
        <v>146.5</v>
      </c>
    </row>
    <row r="625" spans="1:3">
      <c r="A625">
        <v>3669</v>
      </c>
      <c r="B625" t="s">
        <v>1771</v>
      </c>
      <c r="C625">
        <v>14.85</v>
      </c>
    </row>
    <row r="626" spans="1:3">
      <c r="A626">
        <v>3673</v>
      </c>
      <c r="B626" t="s">
        <v>1772</v>
      </c>
      <c r="C626">
        <v>94.2</v>
      </c>
    </row>
    <row r="627" spans="1:3">
      <c r="A627">
        <v>3679</v>
      </c>
      <c r="B627" t="s">
        <v>1773</v>
      </c>
      <c r="C627">
        <v>41.65</v>
      </c>
    </row>
    <row r="628" spans="1:3">
      <c r="A628">
        <v>3682</v>
      </c>
      <c r="B628" t="s">
        <v>1774</v>
      </c>
      <c r="C628">
        <v>11.1</v>
      </c>
    </row>
    <row r="629" spans="1:3">
      <c r="A629">
        <v>3686</v>
      </c>
      <c r="B629" t="s">
        <v>1775</v>
      </c>
      <c r="C629">
        <v>8.5500000000000007</v>
      </c>
    </row>
    <row r="630" spans="1:3">
      <c r="A630">
        <v>3694</v>
      </c>
      <c r="B630" t="s">
        <v>1776</v>
      </c>
      <c r="C630">
        <v>17.399999999999999</v>
      </c>
    </row>
    <row r="631" spans="1:3">
      <c r="A631">
        <v>3698</v>
      </c>
      <c r="B631" t="s">
        <v>1777</v>
      </c>
      <c r="C631">
        <v>15.9</v>
      </c>
    </row>
    <row r="632" spans="1:3">
      <c r="A632">
        <v>3701</v>
      </c>
      <c r="B632" t="s">
        <v>1778</v>
      </c>
      <c r="C632">
        <v>8.39</v>
      </c>
    </row>
    <row r="633" spans="1:3">
      <c r="A633">
        <v>3702</v>
      </c>
      <c r="B633" t="s">
        <v>1779</v>
      </c>
      <c r="C633">
        <v>34</v>
      </c>
    </row>
    <row r="634" spans="1:3">
      <c r="A634">
        <v>3703</v>
      </c>
      <c r="B634" t="s">
        <v>1780</v>
      </c>
      <c r="C634">
        <v>11</v>
      </c>
    </row>
    <row r="635" spans="1:3">
      <c r="A635">
        <v>3704</v>
      </c>
      <c r="B635" t="s">
        <v>1781</v>
      </c>
      <c r="C635">
        <v>13.1</v>
      </c>
    </row>
    <row r="636" spans="1:3">
      <c r="A636">
        <v>3705</v>
      </c>
      <c r="B636" t="s">
        <v>1782</v>
      </c>
      <c r="C636">
        <v>47.4</v>
      </c>
    </row>
    <row r="637" spans="1:3">
      <c r="A637">
        <v>3706</v>
      </c>
      <c r="B637" t="s">
        <v>1783</v>
      </c>
      <c r="C637">
        <v>24.8</v>
      </c>
    </row>
    <row r="638" spans="1:3">
      <c r="A638">
        <v>4104</v>
      </c>
      <c r="B638" t="s">
        <v>1784</v>
      </c>
      <c r="C638">
        <v>49.6</v>
      </c>
    </row>
    <row r="639" spans="1:3">
      <c r="A639">
        <v>4106</v>
      </c>
      <c r="B639" t="s">
        <v>1785</v>
      </c>
      <c r="C639">
        <v>42</v>
      </c>
    </row>
    <row r="640" spans="1:3">
      <c r="A640">
        <v>4108</v>
      </c>
      <c r="B640" t="s">
        <v>1786</v>
      </c>
      <c r="C640">
        <v>28.1</v>
      </c>
    </row>
    <row r="641" spans="1:3">
      <c r="A641">
        <v>4119</v>
      </c>
      <c r="B641" t="s">
        <v>1787</v>
      </c>
      <c r="C641">
        <v>78.8</v>
      </c>
    </row>
    <row r="642" spans="1:3">
      <c r="A642">
        <v>4133</v>
      </c>
      <c r="B642" t="s">
        <v>1788</v>
      </c>
      <c r="C642">
        <v>31</v>
      </c>
    </row>
    <row r="643" spans="1:3">
      <c r="A643">
        <v>4137</v>
      </c>
      <c r="B643" t="s">
        <v>1789</v>
      </c>
      <c r="C643">
        <v>258.5</v>
      </c>
    </row>
    <row r="644" spans="1:3">
      <c r="A644">
        <v>4141</v>
      </c>
      <c r="B644" t="s">
        <v>1790</v>
      </c>
      <c r="C644">
        <v>34</v>
      </c>
    </row>
    <row r="645" spans="1:3">
      <c r="A645">
        <v>4142</v>
      </c>
      <c r="B645" t="s">
        <v>1791</v>
      </c>
      <c r="C645">
        <v>24.1</v>
      </c>
    </row>
    <row r="646" spans="1:3">
      <c r="A646">
        <v>4144</v>
      </c>
      <c r="B646" t="s">
        <v>1792</v>
      </c>
      <c r="C646">
        <v>63</v>
      </c>
    </row>
    <row r="647" spans="1:3">
      <c r="A647">
        <v>4164</v>
      </c>
      <c r="B647" t="s">
        <v>1793</v>
      </c>
      <c r="C647">
        <v>58.4</v>
      </c>
    </row>
    <row r="648" spans="1:3">
      <c r="A648">
        <v>4190</v>
      </c>
      <c r="B648" t="s">
        <v>2493</v>
      </c>
      <c r="C648">
        <v>139</v>
      </c>
    </row>
    <row r="649" spans="1:3">
      <c r="A649">
        <v>4306</v>
      </c>
      <c r="B649" t="s">
        <v>1794</v>
      </c>
      <c r="C649">
        <v>12.55</v>
      </c>
    </row>
    <row r="650" spans="1:3">
      <c r="A650">
        <v>4414</v>
      </c>
      <c r="B650" t="s">
        <v>1795</v>
      </c>
      <c r="C650">
        <v>19</v>
      </c>
    </row>
    <row r="651" spans="1:3">
      <c r="A651">
        <v>4426</v>
      </c>
      <c r="B651" t="s">
        <v>1796</v>
      </c>
      <c r="C651">
        <v>186</v>
      </c>
    </row>
    <row r="652" spans="1:3">
      <c r="A652">
        <v>4526</v>
      </c>
      <c r="B652" t="s">
        <v>1797</v>
      </c>
      <c r="C652">
        <v>23.9</v>
      </c>
    </row>
    <row r="653" spans="1:3">
      <c r="A653">
        <v>4532</v>
      </c>
      <c r="B653" t="s">
        <v>1798</v>
      </c>
      <c r="C653">
        <v>23.9</v>
      </c>
    </row>
    <row r="654" spans="1:3">
      <c r="A654">
        <v>4536</v>
      </c>
      <c r="B654" t="s">
        <v>1799</v>
      </c>
      <c r="C654">
        <v>126.5</v>
      </c>
    </row>
    <row r="655" spans="1:3">
      <c r="A655">
        <v>4551</v>
      </c>
      <c r="B655" t="s">
        <v>1800</v>
      </c>
      <c r="C655">
        <v>63.5</v>
      </c>
    </row>
    <row r="656" spans="1:3">
      <c r="A656">
        <v>4557</v>
      </c>
      <c r="B656" t="s">
        <v>1801</v>
      </c>
      <c r="C656">
        <v>71.8</v>
      </c>
    </row>
    <row r="657" spans="1:3">
      <c r="A657">
        <v>4720</v>
      </c>
      <c r="B657" t="s">
        <v>1802</v>
      </c>
      <c r="C657">
        <v>15.7</v>
      </c>
    </row>
    <row r="658" spans="1:3">
      <c r="A658">
        <v>4722</v>
      </c>
      <c r="B658" t="s">
        <v>1803</v>
      </c>
      <c r="C658">
        <v>34.6</v>
      </c>
    </row>
    <row r="659" spans="1:3">
      <c r="A659">
        <v>4725</v>
      </c>
      <c r="B659" t="s">
        <v>1804</v>
      </c>
      <c r="C659">
        <v>18.350000000000001</v>
      </c>
    </row>
    <row r="660" spans="1:3">
      <c r="A660">
        <v>4733</v>
      </c>
      <c r="B660" t="s">
        <v>1805</v>
      </c>
      <c r="C660">
        <v>231</v>
      </c>
    </row>
    <row r="661" spans="1:3">
      <c r="A661">
        <v>4737</v>
      </c>
      <c r="B661" t="s">
        <v>1806</v>
      </c>
      <c r="C661">
        <v>54.2</v>
      </c>
    </row>
    <row r="662" spans="1:3">
      <c r="A662">
        <v>4746</v>
      </c>
      <c r="B662" t="s">
        <v>1807</v>
      </c>
      <c r="C662">
        <v>60.4</v>
      </c>
    </row>
    <row r="663" spans="1:3">
      <c r="A663">
        <v>4755</v>
      </c>
      <c r="B663" t="s">
        <v>1808</v>
      </c>
      <c r="C663">
        <v>23.95</v>
      </c>
    </row>
    <row r="664" spans="1:3">
      <c r="A664">
        <v>4904</v>
      </c>
      <c r="B664" t="s">
        <v>1809</v>
      </c>
      <c r="C664">
        <v>72</v>
      </c>
    </row>
    <row r="665" spans="1:3">
      <c r="A665">
        <v>4906</v>
      </c>
      <c r="B665" t="s">
        <v>1810</v>
      </c>
      <c r="C665">
        <v>16.55</v>
      </c>
    </row>
    <row r="666" spans="1:3">
      <c r="A666">
        <v>4912</v>
      </c>
      <c r="B666" t="s">
        <v>1811</v>
      </c>
      <c r="C666">
        <v>83</v>
      </c>
    </row>
    <row r="667" spans="1:3">
      <c r="A667">
        <v>4915</v>
      </c>
      <c r="B667" t="s">
        <v>1812</v>
      </c>
      <c r="C667">
        <v>44</v>
      </c>
    </row>
    <row r="668" spans="1:3">
      <c r="A668">
        <v>4916</v>
      </c>
      <c r="B668" t="s">
        <v>1813</v>
      </c>
      <c r="C668">
        <v>22.7</v>
      </c>
    </row>
    <row r="669" spans="1:3">
      <c r="A669">
        <v>4919</v>
      </c>
      <c r="B669" t="s">
        <v>1814</v>
      </c>
      <c r="C669">
        <v>27.25</v>
      </c>
    </row>
    <row r="670" spans="1:3">
      <c r="A670">
        <v>4927</v>
      </c>
      <c r="B670" t="s">
        <v>1815</v>
      </c>
      <c r="C670">
        <v>41.8</v>
      </c>
    </row>
    <row r="671" spans="1:3">
      <c r="A671">
        <v>4930</v>
      </c>
      <c r="B671" t="s">
        <v>1816</v>
      </c>
      <c r="C671">
        <v>17.05</v>
      </c>
    </row>
    <row r="672" spans="1:3">
      <c r="A672">
        <v>4934</v>
      </c>
      <c r="B672" t="s">
        <v>1817</v>
      </c>
      <c r="C672">
        <v>17.75</v>
      </c>
    </row>
    <row r="673" spans="1:3">
      <c r="A673">
        <v>4935</v>
      </c>
      <c r="B673" t="s">
        <v>1818</v>
      </c>
      <c r="C673">
        <v>59.4</v>
      </c>
    </row>
    <row r="674" spans="1:3">
      <c r="A674">
        <v>4938</v>
      </c>
      <c r="B674" t="s">
        <v>1819</v>
      </c>
      <c r="C674">
        <v>82</v>
      </c>
    </row>
    <row r="675" spans="1:3">
      <c r="A675">
        <v>4942</v>
      </c>
      <c r="B675" t="s">
        <v>1820</v>
      </c>
      <c r="C675">
        <v>23.6</v>
      </c>
    </row>
    <row r="676" spans="1:3">
      <c r="A676">
        <v>4952</v>
      </c>
      <c r="B676" t="s">
        <v>1821</v>
      </c>
      <c r="C676">
        <v>33.049999999999997</v>
      </c>
    </row>
    <row r="677" spans="1:3">
      <c r="A677">
        <v>4956</v>
      </c>
      <c r="B677" t="s">
        <v>1822</v>
      </c>
      <c r="C677">
        <v>12.55</v>
      </c>
    </row>
    <row r="678" spans="1:3">
      <c r="A678">
        <v>4958</v>
      </c>
      <c r="B678" t="s">
        <v>1823</v>
      </c>
      <c r="C678">
        <v>93.3</v>
      </c>
    </row>
    <row r="679" spans="1:3">
      <c r="A679">
        <v>4960</v>
      </c>
      <c r="B679" t="s">
        <v>1824</v>
      </c>
      <c r="C679">
        <v>22.15</v>
      </c>
    </row>
    <row r="680" spans="1:3">
      <c r="A680">
        <v>4976</v>
      </c>
      <c r="B680" t="s">
        <v>1825</v>
      </c>
      <c r="C680">
        <v>16.649999999999999</v>
      </c>
    </row>
    <row r="681" spans="1:3">
      <c r="A681">
        <v>4977</v>
      </c>
      <c r="B681" t="s">
        <v>1826</v>
      </c>
      <c r="C681">
        <v>64.900000000000006</v>
      </c>
    </row>
    <row r="682" spans="1:3">
      <c r="A682">
        <v>4984</v>
      </c>
      <c r="B682" t="s">
        <v>1827</v>
      </c>
      <c r="C682">
        <v>35.1</v>
      </c>
    </row>
    <row r="683" spans="1:3">
      <c r="A683">
        <v>4994</v>
      </c>
      <c r="B683" t="s">
        <v>1828</v>
      </c>
      <c r="C683">
        <v>90.3</v>
      </c>
    </row>
    <row r="684" spans="1:3">
      <c r="A684">
        <v>4999</v>
      </c>
      <c r="B684" t="s">
        <v>1829</v>
      </c>
      <c r="C684">
        <v>45.4</v>
      </c>
    </row>
    <row r="685" spans="1:3">
      <c r="A685">
        <v>5007</v>
      </c>
      <c r="B685" t="s">
        <v>1830</v>
      </c>
      <c r="C685">
        <v>67.2</v>
      </c>
    </row>
    <row r="686" spans="1:3">
      <c r="A686">
        <v>5203</v>
      </c>
      <c r="B686" t="s">
        <v>1831</v>
      </c>
      <c r="C686">
        <v>70.400000000000006</v>
      </c>
    </row>
    <row r="687" spans="1:3">
      <c r="A687">
        <v>5215</v>
      </c>
      <c r="B687" t="s">
        <v>1832</v>
      </c>
      <c r="C687">
        <v>38.9</v>
      </c>
    </row>
    <row r="688" spans="1:3">
      <c r="A688">
        <v>5225</v>
      </c>
      <c r="B688" t="s">
        <v>1833</v>
      </c>
      <c r="C688">
        <v>49.7</v>
      </c>
    </row>
    <row r="689" spans="1:3">
      <c r="A689">
        <v>5234</v>
      </c>
      <c r="B689" t="s">
        <v>1834</v>
      </c>
      <c r="C689">
        <v>32.25</v>
      </c>
    </row>
    <row r="690" spans="1:3">
      <c r="A690">
        <v>5243</v>
      </c>
      <c r="B690" t="s">
        <v>1835</v>
      </c>
      <c r="C690">
        <v>32.6</v>
      </c>
    </row>
    <row r="691" spans="1:3">
      <c r="A691">
        <v>5259</v>
      </c>
      <c r="B691" t="s">
        <v>1836</v>
      </c>
      <c r="C691">
        <v>9.14</v>
      </c>
    </row>
    <row r="692" spans="1:3">
      <c r="A692">
        <v>5264</v>
      </c>
      <c r="B692" t="s">
        <v>1837</v>
      </c>
      <c r="C692">
        <v>142.5</v>
      </c>
    </row>
    <row r="693" spans="1:3">
      <c r="A693">
        <v>5269</v>
      </c>
      <c r="B693" t="s">
        <v>1838</v>
      </c>
      <c r="C693">
        <v>176.5</v>
      </c>
    </row>
    <row r="694" spans="1:3">
      <c r="A694">
        <v>5285</v>
      </c>
      <c r="B694" t="s">
        <v>1839</v>
      </c>
      <c r="C694">
        <v>31.35</v>
      </c>
    </row>
    <row r="695" spans="1:3">
      <c r="A695">
        <v>5288</v>
      </c>
      <c r="B695" t="s">
        <v>1840</v>
      </c>
      <c r="C695">
        <v>94.6</v>
      </c>
    </row>
    <row r="696" spans="1:3">
      <c r="A696">
        <v>5305</v>
      </c>
      <c r="B696" t="s">
        <v>1841</v>
      </c>
      <c r="C696">
        <v>22.8</v>
      </c>
    </row>
    <row r="697" spans="1:3">
      <c r="A697">
        <v>5388</v>
      </c>
      <c r="B697" t="s">
        <v>1842</v>
      </c>
      <c r="C697">
        <v>77.599999999999994</v>
      </c>
    </row>
    <row r="698" spans="1:3">
      <c r="A698">
        <v>5434</v>
      </c>
      <c r="B698" t="s">
        <v>1843</v>
      </c>
      <c r="C698">
        <v>51.1</v>
      </c>
    </row>
    <row r="699" spans="1:3">
      <c r="A699">
        <v>5469</v>
      </c>
      <c r="B699" t="s">
        <v>1844</v>
      </c>
      <c r="C699">
        <v>9.6</v>
      </c>
    </row>
    <row r="700" spans="1:3">
      <c r="A700">
        <v>5471</v>
      </c>
      <c r="B700" t="s">
        <v>1845</v>
      </c>
      <c r="C700">
        <v>38.1</v>
      </c>
    </row>
    <row r="701" spans="1:3">
      <c r="A701">
        <v>5484</v>
      </c>
      <c r="B701" t="s">
        <v>1846</v>
      </c>
      <c r="C701">
        <v>4.74</v>
      </c>
    </row>
    <row r="702" spans="1:3">
      <c r="A702">
        <v>5515</v>
      </c>
      <c r="B702" t="s">
        <v>1847</v>
      </c>
      <c r="C702">
        <v>9.8800000000000008</v>
      </c>
    </row>
    <row r="703" spans="1:3">
      <c r="A703">
        <v>5519</v>
      </c>
      <c r="B703" t="s">
        <v>1848</v>
      </c>
      <c r="C703">
        <v>13.7</v>
      </c>
    </row>
    <row r="704" spans="1:3">
      <c r="A704">
        <v>5521</v>
      </c>
      <c r="B704" t="s">
        <v>1849</v>
      </c>
      <c r="C704">
        <v>11.3</v>
      </c>
    </row>
    <row r="705" spans="1:3">
      <c r="A705">
        <v>5522</v>
      </c>
      <c r="B705" t="s">
        <v>1850</v>
      </c>
      <c r="C705">
        <v>36.549999999999997</v>
      </c>
    </row>
    <row r="706" spans="1:3">
      <c r="A706">
        <v>5525</v>
      </c>
      <c r="B706" t="s">
        <v>1851</v>
      </c>
      <c r="C706">
        <v>15</v>
      </c>
    </row>
    <row r="707" spans="1:3">
      <c r="A707">
        <v>5531</v>
      </c>
      <c r="B707" t="s">
        <v>1852</v>
      </c>
      <c r="C707">
        <v>11.55</v>
      </c>
    </row>
    <row r="708" spans="1:3">
      <c r="A708">
        <v>5533</v>
      </c>
      <c r="B708" t="s">
        <v>1853</v>
      </c>
      <c r="C708">
        <v>16.95</v>
      </c>
    </row>
    <row r="709" spans="1:3">
      <c r="A709">
        <v>5534</v>
      </c>
      <c r="B709" t="s">
        <v>1854</v>
      </c>
      <c r="C709">
        <v>45.7</v>
      </c>
    </row>
    <row r="710" spans="1:3">
      <c r="A710">
        <v>5538</v>
      </c>
      <c r="B710" t="s">
        <v>1855</v>
      </c>
      <c r="C710">
        <v>27.2</v>
      </c>
    </row>
    <row r="711" spans="1:3">
      <c r="A711">
        <v>5607</v>
      </c>
      <c r="B711" t="s">
        <v>1856</v>
      </c>
      <c r="C711">
        <v>16.25</v>
      </c>
    </row>
    <row r="712" spans="1:3">
      <c r="A712">
        <v>5608</v>
      </c>
      <c r="B712" t="s">
        <v>1857</v>
      </c>
      <c r="C712">
        <v>13.55</v>
      </c>
    </row>
    <row r="713" spans="1:3">
      <c r="A713">
        <v>5706</v>
      </c>
      <c r="B713" t="s">
        <v>1858</v>
      </c>
      <c r="C713">
        <v>39.9</v>
      </c>
    </row>
    <row r="714" spans="1:3">
      <c r="A714">
        <v>5871</v>
      </c>
      <c r="B714" t="s">
        <v>1859</v>
      </c>
      <c r="C714">
        <v>61.3</v>
      </c>
    </row>
    <row r="715" spans="1:3">
      <c r="A715">
        <v>5880</v>
      </c>
      <c r="B715" t="s">
        <v>1860</v>
      </c>
      <c r="C715">
        <v>14.45</v>
      </c>
    </row>
    <row r="716" spans="1:3">
      <c r="A716">
        <v>5906</v>
      </c>
      <c r="B716" t="s">
        <v>1861</v>
      </c>
      <c r="C716">
        <v>3.03</v>
      </c>
    </row>
    <row r="717" spans="1:3">
      <c r="A717">
        <v>5907</v>
      </c>
      <c r="B717" t="s">
        <v>1862</v>
      </c>
      <c r="C717">
        <v>39</v>
      </c>
    </row>
    <row r="718" spans="1:3">
      <c r="A718">
        <v>6005</v>
      </c>
      <c r="B718" t="s">
        <v>1863</v>
      </c>
      <c r="C718">
        <v>9.6</v>
      </c>
    </row>
    <row r="719" spans="1:3">
      <c r="A719">
        <v>6108</v>
      </c>
      <c r="B719" t="s">
        <v>1864</v>
      </c>
      <c r="C719">
        <v>13.55</v>
      </c>
    </row>
    <row r="720" spans="1:3">
      <c r="A720">
        <v>6112</v>
      </c>
      <c r="B720" t="s">
        <v>1865</v>
      </c>
      <c r="C720">
        <v>28</v>
      </c>
    </row>
    <row r="721" spans="1:3">
      <c r="A721">
        <v>6115</v>
      </c>
      <c r="B721" t="s">
        <v>1866</v>
      </c>
      <c r="C721">
        <v>32.299999999999997</v>
      </c>
    </row>
    <row r="722" spans="1:3">
      <c r="A722">
        <v>6116</v>
      </c>
      <c r="B722" t="s">
        <v>1867</v>
      </c>
      <c r="C722">
        <v>4.2699999999999996</v>
      </c>
    </row>
    <row r="723" spans="1:3">
      <c r="A723">
        <v>6117</v>
      </c>
      <c r="B723" t="s">
        <v>1868</v>
      </c>
      <c r="C723">
        <v>15</v>
      </c>
    </row>
    <row r="724" spans="1:3">
      <c r="A724">
        <v>6120</v>
      </c>
      <c r="B724" t="s">
        <v>1869</v>
      </c>
      <c r="C724">
        <v>13.5</v>
      </c>
    </row>
    <row r="725" spans="1:3">
      <c r="A725">
        <v>6128</v>
      </c>
      <c r="B725" t="s">
        <v>1870</v>
      </c>
      <c r="C725">
        <v>34.4</v>
      </c>
    </row>
    <row r="726" spans="1:3">
      <c r="A726">
        <v>6131</v>
      </c>
      <c r="B726" t="s">
        <v>1871</v>
      </c>
      <c r="C726">
        <v>23.35</v>
      </c>
    </row>
    <row r="727" spans="1:3">
      <c r="A727">
        <v>6133</v>
      </c>
      <c r="B727" t="s">
        <v>1872</v>
      </c>
      <c r="C727">
        <v>10.65</v>
      </c>
    </row>
    <row r="728" spans="1:3">
      <c r="A728">
        <v>6136</v>
      </c>
      <c r="B728" t="s">
        <v>1873</v>
      </c>
      <c r="C728">
        <v>24.2</v>
      </c>
    </row>
    <row r="729" spans="1:3">
      <c r="A729">
        <v>6139</v>
      </c>
      <c r="B729" t="s">
        <v>1874</v>
      </c>
      <c r="C729">
        <v>19.149999999999999</v>
      </c>
    </row>
    <row r="730" spans="1:3">
      <c r="A730">
        <v>6141</v>
      </c>
      <c r="B730" t="s">
        <v>1875</v>
      </c>
      <c r="C730">
        <v>8.9</v>
      </c>
    </row>
    <row r="731" spans="1:3">
      <c r="A731">
        <v>6142</v>
      </c>
      <c r="B731" t="s">
        <v>1876</v>
      </c>
      <c r="C731">
        <v>4.51</v>
      </c>
    </row>
    <row r="732" spans="1:3">
      <c r="A732">
        <v>6145</v>
      </c>
      <c r="B732" t="s">
        <v>1877</v>
      </c>
      <c r="C732">
        <v>13.5</v>
      </c>
    </row>
    <row r="733" spans="1:3">
      <c r="A733">
        <v>6152</v>
      </c>
      <c r="B733" t="s">
        <v>1878</v>
      </c>
      <c r="C733">
        <v>9.0500000000000007</v>
      </c>
    </row>
    <row r="734" spans="1:3">
      <c r="A734">
        <v>6153</v>
      </c>
      <c r="B734" t="s">
        <v>1879</v>
      </c>
      <c r="C734">
        <v>27</v>
      </c>
    </row>
    <row r="735" spans="1:3">
      <c r="A735">
        <v>6155</v>
      </c>
      <c r="B735" t="s">
        <v>1880</v>
      </c>
      <c r="C735">
        <v>18.3</v>
      </c>
    </row>
    <row r="736" spans="1:3">
      <c r="A736">
        <v>6164</v>
      </c>
      <c r="B736" t="s">
        <v>1881</v>
      </c>
      <c r="C736">
        <v>11.5</v>
      </c>
    </row>
    <row r="737" spans="1:3">
      <c r="A737">
        <v>6165</v>
      </c>
      <c r="B737" t="s">
        <v>1882</v>
      </c>
      <c r="C737">
        <v>12.75</v>
      </c>
    </row>
    <row r="738" spans="1:3">
      <c r="A738">
        <v>6166</v>
      </c>
      <c r="B738" t="s">
        <v>1883</v>
      </c>
      <c r="C738">
        <v>90.2</v>
      </c>
    </row>
    <row r="739" spans="1:3">
      <c r="A739">
        <v>6168</v>
      </c>
      <c r="B739" t="s">
        <v>1884</v>
      </c>
      <c r="C739">
        <v>12.75</v>
      </c>
    </row>
    <row r="740" spans="1:3">
      <c r="A740">
        <v>6172</v>
      </c>
      <c r="B740" t="s">
        <v>1885</v>
      </c>
      <c r="C740">
        <v>5.16</v>
      </c>
    </row>
    <row r="741" spans="1:3">
      <c r="A741">
        <v>6176</v>
      </c>
      <c r="B741" t="s">
        <v>1886</v>
      </c>
      <c r="C741">
        <v>105</v>
      </c>
    </row>
    <row r="742" spans="1:3">
      <c r="A742">
        <v>6177</v>
      </c>
      <c r="B742" t="s">
        <v>1887</v>
      </c>
      <c r="C742">
        <v>21.6</v>
      </c>
    </row>
    <row r="743" spans="1:3">
      <c r="A743">
        <v>6183</v>
      </c>
      <c r="B743" t="s">
        <v>1888</v>
      </c>
      <c r="C743">
        <v>25.2</v>
      </c>
    </row>
    <row r="744" spans="1:3">
      <c r="A744">
        <v>6184</v>
      </c>
      <c r="B744" t="s">
        <v>1889</v>
      </c>
      <c r="C744">
        <v>52.8</v>
      </c>
    </row>
    <row r="745" spans="1:3">
      <c r="A745">
        <v>6189</v>
      </c>
      <c r="B745" t="s">
        <v>1890</v>
      </c>
      <c r="C745">
        <v>28.3</v>
      </c>
    </row>
    <row r="746" spans="1:3">
      <c r="A746">
        <v>6191</v>
      </c>
      <c r="B746" t="s">
        <v>1891</v>
      </c>
      <c r="C746">
        <v>7.14</v>
      </c>
    </row>
    <row r="747" spans="1:3">
      <c r="A747">
        <v>6192</v>
      </c>
      <c r="B747" t="s">
        <v>1892</v>
      </c>
      <c r="C747">
        <v>46</v>
      </c>
    </row>
    <row r="748" spans="1:3">
      <c r="A748">
        <v>6196</v>
      </c>
      <c r="B748" t="s">
        <v>1893</v>
      </c>
      <c r="C748">
        <v>22.55</v>
      </c>
    </row>
    <row r="749" spans="1:3">
      <c r="A749">
        <v>6197</v>
      </c>
      <c r="B749" t="s">
        <v>1894</v>
      </c>
      <c r="C749">
        <v>35.65</v>
      </c>
    </row>
    <row r="750" spans="1:3">
      <c r="A750">
        <v>6201</v>
      </c>
      <c r="B750" t="s">
        <v>1895</v>
      </c>
      <c r="C750">
        <v>24.65</v>
      </c>
    </row>
    <row r="751" spans="1:3">
      <c r="A751">
        <v>6202</v>
      </c>
      <c r="B751" t="s">
        <v>1896</v>
      </c>
      <c r="C751">
        <v>48.7</v>
      </c>
    </row>
    <row r="752" spans="1:3">
      <c r="A752">
        <v>6205</v>
      </c>
      <c r="B752" t="s">
        <v>1897</v>
      </c>
      <c r="C752">
        <v>30</v>
      </c>
    </row>
    <row r="753" spans="1:3">
      <c r="A753">
        <v>6206</v>
      </c>
      <c r="B753" t="s">
        <v>1898</v>
      </c>
      <c r="C753">
        <v>103</v>
      </c>
    </row>
    <row r="754" spans="1:3">
      <c r="A754">
        <v>6209</v>
      </c>
      <c r="B754" t="s">
        <v>1899</v>
      </c>
      <c r="C754">
        <v>17.399999999999999</v>
      </c>
    </row>
    <row r="755" spans="1:3">
      <c r="A755">
        <v>6213</v>
      </c>
      <c r="B755" t="s">
        <v>1900</v>
      </c>
      <c r="C755">
        <v>23.4</v>
      </c>
    </row>
    <row r="756" spans="1:3">
      <c r="A756">
        <v>6214</v>
      </c>
      <c r="B756" t="s">
        <v>1901</v>
      </c>
      <c r="C756">
        <v>62</v>
      </c>
    </row>
    <row r="757" spans="1:3">
      <c r="A757">
        <v>6215</v>
      </c>
      <c r="B757" t="s">
        <v>1902</v>
      </c>
      <c r="C757">
        <v>14.45</v>
      </c>
    </row>
    <row r="758" spans="1:3">
      <c r="A758">
        <v>6216</v>
      </c>
      <c r="B758" t="s">
        <v>1903</v>
      </c>
      <c r="C758">
        <v>27.75</v>
      </c>
    </row>
    <row r="759" spans="1:3">
      <c r="A759">
        <v>6224</v>
      </c>
      <c r="B759" t="s">
        <v>1904</v>
      </c>
      <c r="C759">
        <v>64.7</v>
      </c>
    </row>
    <row r="760" spans="1:3">
      <c r="A760">
        <v>6225</v>
      </c>
      <c r="B760" t="s">
        <v>1905</v>
      </c>
      <c r="C760">
        <v>3.94</v>
      </c>
    </row>
    <row r="761" spans="1:3">
      <c r="A761">
        <v>6226</v>
      </c>
      <c r="B761" t="s">
        <v>1906</v>
      </c>
      <c r="C761">
        <v>6.59</v>
      </c>
    </row>
    <row r="762" spans="1:3">
      <c r="A762">
        <v>6230</v>
      </c>
      <c r="B762" t="s">
        <v>1907</v>
      </c>
      <c r="C762">
        <v>73.3</v>
      </c>
    </row>
    <row r="763" spans="1:3">
      <c r="A763">
        <v>6235</v>
      </c>
      <c r="B763" t="s">
        <v>1908</v>
      </c>
      <c r="C763">
        <v>9.32</v>
      </c>
    </row>
    <row r="764" spans="1:3">
      <c r="A764">
        <v>6239</v>
      </c>
      <c r="B764" t="s">
        <v>1909</v>
      </c>
      <c r="C764">
        <v>61</v>
      </c>
    </row>
    <row r="765" spans="1:3">
      <c r="A765">
        <v>6243</v>
      </c>
      <c r="B765" t="s">
        <v>1910</v>
      </c>
      <c r="C765">
        <v>16.55</v>
      </c>
    </row>
    <row r="766" spans="1:3">
      <c r="A766">
        <v>6251</v>
      </c>
      <c r="B766" t="s">
        <v>1911</v>
      </c>
      <c r="C766">
        <v>9.74</v>
      </c>
    </row>
    <row r="767" spans="1:3">
      <c r="A767">
        <v>6257</v>
      </c>
      <c r="B767" t="s">
        <v>1912</v>
      </c>
      <c r="C767">
        <v>21.5</v>
      </c>
    </row>
    <row r="768" spans="1:3">
      <c r="A768">
        <v>6269</v>
      </c>
      <c r="B768" t="s">
        <v>1913</v>
      </c>
      <c r="C768">
        <v>93.1</v>
      </c>
    </row>
    <row r="769" spans="1:3">
      <c r="A769">
        <v>6271</v>
      </c>
      <c r="B769" t="s">
        <v>1914</v>
      </c>
      <c r="C769">
        <v>86.1</v>
      </c>
    </row>
    <row r="770" spans="1:3">
      <c r="A770">
        <v>6277</v>
      </c>
      <c r="B770" t="s">
        <v>1915</v>
      </c>
      <c r="C770">
        <v>75.099999999999994</v>
      </c>
    </row>
    <row r="771" spans="1:3">
      <c r="A771">
        <v>6278</v>
      </c>
      <c r="B771" t="s">
        <v>1916</v>
      </c>
      <c r="C771">
        <v>31.9</v>
      </c>
    </row>
    <row r="772" spans="1:3">
      <c r="A772">
        <v>6281</v>
      </c>
      <c r="B772" t="s">
        <v>1917</v>
      </c>
      <c r="C772">
        <v>56.9</v>
      </c>
    </row>
    <row r="773" spans="1:3">
      <c r="A773">
        <v>6282</v>
      </c>
      <c r="B773" t="s">
        <v>1918</v>
      </c>
      <c r="C773">
        <v>22.75</v>
      </c>
    </row>
    <row r="774" spans="1:3">
      <c r="A774">
        <v>6283</v>
      </c>
      <c r="B774" t="s">
        <v>1919</v>
      </c>
      <c r="C774">
        <v>4.9400000000000004</v>
      </c>
    </row>
    <row r="775" spans="1:3">
      <c r="A775">
        <v>6285</v>
      </c>
      <c r="B775" t="s">
        <v>1920</v>
      </c>
      <c r="C775">
        <v>79.599999999999994</v>
      </c>
    </row>
    <row r="776" spans="1:3">
      <c r="A776">
        <v>6286</v>
      </c>
      <c r="B776" t="s">
        <v>1921</v>
      </c>
      <c r="C776">
        <v>189.5</v>
      </c>
    </row>
    <row r="777" spans="1:3">
      <c r="A777">
        <v>6289</v>
      </c>
      <c r="B777" t="s">
        <v>1922</v>
      </c>
      <c r="C777">
        <v>1.29</v>
      </c>
    </row>
    <row r="778" spans="1:3">
      <c r="A778">
        <v>6405</v>
      </c>
      <c r="B778" t="s">
        <v>1923</v>
      </c>
      <c r="C778">
        <v>26.5</v>
      </c>
    </row>
    <row r="779" spans="1:3">
      <c r="A779">
        <v>6409</v>
      </c>
      <c r="B779" t="s">
        <v>1924</v>
      </c>
      <c r="C779">
        <v>420</v>
      </c>
    </row>
    <row r="780" spans="1:3">
      <c r="A780">
        <v>6412</v>
      </c>
      <c r="B780" t="s">
        <v>1925</v>
      </c>
      <c r="C780">
        <v>39.25</v>
      </c>
    </row>
    <row r="781" spans="1:3">
      <c r="A781">
        <v>6414</v>
      </c>
      <c r="B781" t="s">
        <v>1926</v>
      </c>
      <c r="C781">
        <v>345</v>
      </c>
    </row>
    <row r="782" spans="1:3">
      <c r="A782">
        <v>6415</v>
      </c>
      <c r="B782" t="s">
        <v>1927</v>
      </c>
      <c r="C782">
        <v>325</v>
      </c>
    </row>
    <row r="783" spans="1:3">
      <c r="A783">
        <v>6422</v>
      </c>
      <c r="B783" t="s">
        <v>1928</v>
      </c>
      <c r="C783">
        <v>51.4</v>
      </c>
    </row>
    <row r="784" spans="1:3">
      <c r="A784">
        <v>6431</v>
      </c>
      <c r="B784" t="s">
        <v>1929</v>
      </c>
      <c r="C784">
        <v>13.8</v>
      </c>
    </row>
    <row r="785" spans="1:3">
      <c r="A785">
        <v>6442</v>
      </c>
      <c r="B785" t="s">
        <v>1930</v>
      </c>
      <c r="C785">
        <v>55.9</v>
      </c>
    </row>
    <row r="786" spans="1:3">
      <c r="A786">
        <v>6443</v>
      </c>
      <c r="B786" t="s">
        <v>1931</v>
      </c>
      <c r="C786">
        <v>17.600000000000001</v>
      </c>
    </row>
    <row r="787" spans="1:3">
      <c r="A787">
        <v>6449</v>
      </c>
      <c r="B787" t="s">
        <v>1932</v>
      </c>
      <c r="C787">
        <v>27.7</v>
      </c>
    </row>
    <row r="788" spans="1:3">
      <c r="A788">
        <v>6451</v>
      </c>
      <c r="B788" t="s">
        <v>1933</v>
      </c>
      <c r="C788">
        <v>105</v>
      </c>
    </row>
    <row r="789" spans="1:3">
      <c r="A789">
        <v>6452</v>
      </c>
      <c r="B789" t="s">
        <v>1934</v>
      </c>
      <c r="C789">
        <v>282.5</v>
      </c>
    </row>
    <row r="790" spans="1:3">
      <c r="A790">
        <v>6456</v>
      </c>
      <c r="B790" t="s">
        <v>1935</v>
      </c>
      <c r="C790">
        <v>125.5</v>
      </c>
    </row>
    <row r="791" spans="1:3">
      <c r="A791">
        <v>6504</v>
      </c>
      <c r="B791" t="s">
        <v>1936</v>
      </c>
      <c r="C791">
        <v>175</v>
      </c>
    </row>
    <row r="792" spans="1:3">
      <c r="A792">
        <v>6505</v>
      </c>
      <c r="B792" t="s">
        <v>1937</v>
      </c>
      <c r="C792">
        <v>79.7</v>
      </c>
    </row>
    <row r="793" spans="1:3">
      <c r="A793">
        <v>6605</v>
      </c>
      <c r="B793" t="s">
        <v>1938</v>
      </c>
      <c r="C793">
        <v>107.5</v>
      </c>
    </row>
    <row r="794" spans="1:3">
      <c r="A794">
        <v>6702</v>
      </c>
      <c r="B794" t="s">
        <v>1939</v>
      </c>
      <c r="C794">
        <v>7.25</v>
      </c>
    </row>
    <row r="795" spans="1:3">
      <c r="A795">
        <v>8011</v>
      </c>
      <c r="B795" t="s">
        <v>1940</v>
      </c>
      <c r="C795">
        <v>24.8</v>
      </c>
    </row>
    <row r="796" spans="1:3">
      <c r="A796">
        <v>8016</v>
      </c>
      <c r="B796" t="s">
        <v>1941</v>
      </c>
      <c r="C796">
        <v>93.9</v>
      </c>
    </row>
    <row r="797" spans="1:3">
      <c r="A797">
        <v>8021</v>
      </c>
      <c r="B797" t="s">
        <v>1942</v>
      </c>
      <c r="C797">
        <v>26.6</v>
      </c>
    </row>
    <row r="798" spans="1:3">
      <c r="A798">
        <v>8033</v>
      </c>
      <c r="B798" t="s">
        <v>1943</v>
      </c>
      <c r="C798">
        <v>9.4</v>
      </c>
    </row>
    <row r="799" spans="1:3">
      <c r="A799">
        <v>8039</v>
      </c>
      <c r="B799" t="s">
        <v>1944</v>
      </c>
      <c r="C799">
        <v>40</v>
      </c>
    </row>
    <row r="800" spans="1:3">
      <c r="A800">
        <v>8046</v>
      </c>
      <c r="B800" t="s">
        <v>1945</v>
      </c>
      <c r="C800">
        <v>33.15</v>
      </c>
    </row>
    <row r="801" spans="1:3">
      <c r="A801">
        <v>8070</v>
      </c>
      <c r="B801" t="s">
        <v>1946</v>
      </c>
      <c r="C801">
        <v>83</v>
      </c>
    </row>
    <row r="802" spans="1:3">
      <c r="A802">
        <v>8072</v>
      </c>
      <c r="B802" t="s">
        <v>1947</v>
      </c>
      <c r="C802">
        <v>28.3</v>
      </c>
    </row>
    <row r="803" spans="1:3">
      <c r="A803">
        <v>8081</v>
      </c>
      <c r="B803" t="s">
        <v>1948</v>
      </c>
      <c r="C803">
        <v>59.8</v>
      </c>
    </row>
    <row r="804" spans="1:3">
      <c r="A804">
        <v>8101</v>
      </c>
      <c r="B804" t="s">
        <v>1949</v>
      </c>
      <c r="C804">
        <v>9.14</v>
      </c>
    </row>
    <row r="805" spans="1:3">
      <c r="A805">
        <v>8103</v>
      </c>
      <c r="B805" t="s">
        <v>1950</v>
      </c>
      <c r="C805">
        <v>28.05</v>
      </c>
    </row>
    <row r="806" spans="1:3">
      <c r="A806">
        <v>8105</v>
      </c>
      <c r="B806" t="s">
        <v>1951</v>
      </c>
      <c r="C806">
        <v>13.05</v>
      </c>
    </row>
    <row r="807" spans="1:3">
      <c r="A807">
        <v>8110</v>
      </c>
      <c r="B807" t="s">
        <v>1952</v>
      </c>
      <c r="C807">
        <v>8.9</v>
      </c>
    </row>
    <row r="808" spans="1:3">
      <c r="A808">
        <v>8112</v>
      </c>
      <c r="B808" t="s">
        <v>1953</v>
      </c>
      <c r="C808">
        <v>14</v>
      </c>
    </row>
    <row r="809" spans="1:3">
      <c r="A809">
        <v>8114</v>
      </c>
      <c r="B809" t="s">
        <v>1954</v>
      </c>
      <c r="C809">
        <v>170</v>
      </c>
    </row>
    <row r="810" spans="1:3">
      <c r="A810">
        <v>8131</v>
      </c>
      <c r="B810" t="s">
        <v>1955</v>
      </c>
      <c r="C810">
        <v>20.7</v>
      </c>
    </row>
    <row r="811" spans="1:3">
      <c r="A811">
        <v>8150</v>
      </c>
      <c r="B811" t="s">
        <v>1956</v>
      </c>
      <c r="C811">
        <v>32.200000000000003</v>
      </c>
    </row>
    <row r="812" spans="1:3">
      <c r="A812">
        <v>8163</v>
      </c>
      <c r="B812" t="s">
        <v>1957</v>
      </c>
      <c r="C812">
        <v>17.55</v>
      </c>
    </row>
    <row r="813" spans="1:3">
      <c r="A813">
        <v>8201</v>
      </c>
      <c r="B813" t="s">
        <v>1958</v>
      </c>
      <c r="C813">
        <v>8.0500000000000007</v>
      </c>
    </row>
    <row r="814" spans="1:3">
      <c r="A814">
        <v>8210</v>
      </c>
      <c r="B814" t="s">
        <v>1959</v>
      </c>
      <c r="C814">
        <v>38.299999999999997</v>
      </c>
    </row>
    <row r="815" spans="1:3">
      <c r="A815">
        <v>8213</v>
      </c>
      <c r="B815" t="s">
        <v>1960</v>
      </c>
      <c r="C815">
        <v>37</v>
      </c>
    </row>
    <row r="816" spans="1:3">
      <c r="A816">
        <v>8215</v>
      </c>
      <c r="B816" t="s">
        <v>1961</v>
      </c>
      <c r="C816">
        <v>23</v>
      </c>
    </row>
    <row r="817" spans="1:3">
      <c r="A817">
        <v>8222</v>
      </c>
      <c r="B817" t="s">
        <v>1962</v>
      </c>
      <c r="C817">
        <v>25.2</v>
      </c>
    </row>
    <row r="818" spans="1:3">
      <c r="A818">
        <v>8249</v>
      </c>
      <c r="B818" t="s">
        <v>1963</v>
      </c>
      <c r="C818">
        <v>22.7</v>
      </c>
    </row>
    <row r="819" spans="1:3">
      <c r="A819">
        <v>8261</v>
      </c>
      <c r="B819" t="s">
        <v>1964</v>
      </c>
      <c r="C819">
        <v>30.2</v>
      </c>
    </row>
    <row r="820" spans="1:3">
      <c r="A820">
        <v>8271</v>
      </c>
      <c r="B820" t="s">
        <v>1965</v>
      </c>
      <c r="C820">
        <v>18.95</v>
      </c>
    </row>
    <row r="821" spans="1:3">
      <c r="A821">
        <v>8341</v>
      </c>
      <c r="B821" t="s">
        <v>1966</v>
      </c>
      <c r="C821">
        <v>99.9</v>
      </c>
    </row>
    <row r="822" spans="1:3">
      <c r="A822">
        <v>8374</v>
      </c>
      <c r="B822" t="s">
        <v>1967</v>
      </c>
      <c r="C822">
        <v>13.1</v>
      </c>
    </row>
    <row r="823" spans="1:3">
      <c r="A823">
        <v>8404</v>
      </c>
      <c r="B823" t="s">
        <v>1968</v>
      </c>
      <c r="C823">
        <v>28.4</v>
      </c>
    </row>
    <row r="824" spans="1:3">
      <c r="A824">
        <v>8411</v>
      </c>
      <c r="B824" t="s">
        <v>1969</v>
      </c>
      <c r="C824">
        <v>27.55</v>
      </c>
    </row>
    <row r="825" spans="1:3">
      <c r="A825">
        <v>8422</v>
      </c>
      <c r="B825" t="s">
        <v>1970</v>
      </c>
      <c r="C825">
        <v>158</v>
      </c>
    </row>
    <row r="826" spans="1:3">
      <c r="A826">
        <v>8427</v>
      </c>
      <c r="B826" t="s">
        <v>1971</v>
      </c>
      <c r="C826">
        <v>49.6</v>
      </c>
    </row>
    <row r="827" spans="1:3">
      <c r="A827">
        <v>8429</v>
      </c>
      <c r="B827" t="s">
        <v>1972</v>
      </c>
      <c r="C827">
        <v>64.900000000000006</v>
      </c>
    </row>
    <row r="828" spans="1:3">
      <c r="A828">
        <v>8443</v>
      </c>
      <c r="B828" t="s">
        <v>1973</v>
      </c>
      <c r="C828">
        <v>23.85</v>
      </c>
    </row>
    <row r="829" spans="1:3">
      <c r="A829">
        <v>8454</v>
      </c>
      <c r="B829" t="s">
        <v>1974</v>
      </c>
      <c r="C829">
        <v>186</v>
      </c>
    </row>
    <row r="830" spans="1:3">
      <c r="A830">
        <v>8463</v>
      </c>
      <c r="B830" t="s">
        <v>1975</v>
      </c>
      <c r="C830">
        <v>27.1</v>
      </c>
    </row>
    <row r="831" spans="1:3">
      <c r="A831">
        <v>8926</v>
      </c>
      <c r="B831" t="s">
        <v>1976</v>
      </c>
      <c r="C831">
        <v>22.65</v>
      </c>
    </row>
    <row r="832" spans="1:3">
      <c r="A832">
        <v>8940</v>
      </c>
      <c r="B832" t="s">
        <v>1977</v>
      </c>
      <c r="C832">
        <v>16.55</v>
      </c>
    </row>
    <row r="833" spans="1:3">
      <c r="A833">
        <v>8996</v>
      </c>
      <c r="B833" t="s">
        <v>1978</v>
      </c>
      <c r="C833">
        <v>41.8</v>
      </c>
    </row>
    <row r="834" spans="1:3">
      <c r="A834">
        <v>9103</v>
      </c>
      <c r="B834" t="s">
        <v>1979</v>
      </c>
      <c r="C834">
        <v>2.1</v>
      </c>
    </row>
    <row r="835" spans="1:3">
      <c r="A835">
        <v>910322</v>
      </c>
      <c r="B835" t="s">
        <v>1980</v>
      </c>
      <c r="C835">
        <v>27.4</v>
      </c>
    </row>
    <row r="836" spans="1:3">
      <c r="A836">
        <v>910482</v>
      </c>
      <c r="B836" t="s">
        <v>1981</v>
      </c>
      <c r="C836">
        <v>1.6</v>
      </c>
    </row>
    <row r="837" spans="1:3">
      <c r="A837">
        <v>9105</v>
      </c>
      <c r="B837" t="s">
        <v>1982</v>
      </c>
      <c r="C837">
        <v>3.62</v>
      </c>
    </row>
    <row r="838" spans="1:3">
      <c r="A838">
        <v>9106</v>
      </c>
      <c r="B838" t="s">
        <v>1983</v>
      </c>
      <c r="C838">
        <v>3</v>
      </c>
    </row>
    <row r="839" spans="1:3">
      <c r="A839">
        <v>910708</v>
      </c>
      <c r="B839" t="s">
        <v>1984</v>
      </c>
      <c r="C839">
        <v>359</v>
      </c>
    </row>
    <row r="840" spans="1:3">
      <c r="A840">
        <v>910801</v>
      </c>
      <c r="B840" t="s">
        <v>1985</v>
      </c>
      <c r="C840">
        <v>4.88</v>
      </c>
    </row>
    <row r="841" spans="1:3">
      <c r="A841">
        <v>910861</v>
      </c>
      <c r="B841" t="s">
        <v>1986</v>
      </c>
      <c r="C841">
        <v>16.75</v>
      </c>
    </row>
    <row r="842" spans="1:3">
      <c r="A842">
        <v>9110</v>
      </c>
      <c r="B842" t="s">
        <v>1987</v>
      </c>
      <c r="C842">
        <v>4.07</v>
      </c>
    </row>
    <row r="843" spans="1:3">
      <c r="A843">
        <v>911608</v>
      </c>
      <c r="B843" t="s">
        <v>1988</v>
      </c>
      <c r="C843">
        <v>4.68</v>
      </c>
    </row>
    <row r="844" spans="1:3">
      <c r="A844">
        <v>911611</v>
      </c>
      <c r="B844" t="s">
        <v>1989</v>
      </c>
      <c r="C844">
        <v>1.03</v>
      </c>
    </row>
    <row r="845" spans="1:3">
      <c r="A845">
        <v>911612</v>
      </c>
      <c r="B845" t="s">
        <v>1990</v>
      </c>
      <c r="C845">
        <v>0.71</v>
      </c>
    </row>
    <row r="846" spans="1:3">
      <c r="A846">
        <v>911616</v>
      </c>
      <c r="B846" t="s">
        <v>1991</v>
      </c>
      <c r="C846">
        <v>2.5499999999999998</v>
      </c>
    </row>
    <row r="847" spans="1:3">
      <c r="A847">
        <v>911619</v>
      </c>
      <c r="B847" t="s">
        <v>1992</v>
      </c>
      <c r="C847">
        <v>1.41</v>
      </c>
    </row>
    <row r="848" spans="1:3">
      <c r="A848">
        <v>911622</v>
      </c>
      <c r="B848" t="s">
        <v>1993</v>
      </c>
      <c r="C848">
        <v>0</v>
      </c>
    </row>
    <row r="849" spans="1:3">
      <c r="A849">
        <v>911626</v>
      </c>
      <c r="B849" t="s">
        <v>1994</v>
      </c>
      <c r="C849">
        <v>0</v>
      </c>
    </row>
    <row r="850" spans="1:3">
      <c r="A850">
        <v>911868</v>
      </c>
      <c r="B850" t="s">
        <v>1995</v>
      </c>
      <c r="C850">
        <v>2.35</v>
      </c>
    </row>
    <row r="851" spans="1:3">
      <c r="A851">
        <v>912000</v>
      </c>
      <c r="B851" t="s">
        <v>1996</v>
      </c>
      <c r="C851">
        <v>3.64</v>
      </c>
    </row>
    <row r="852" spans="1:3">
      <c r="A852">
        <v>912398</v>
      </c>
      <c r="B852" t="s">
        <v>1997</v>
      </c>
      <c r="C852">
        <v>8.1</v>
      </c>
    </row>
    <row r="853" spans="1:3">
      <c r="A853">
        <v>9136</v>
      </c>
      <c r="B853" t="s">
        <v>1998</v>
      </c>
      <c r="C853">
        <v>16.95</v>
      </c>
    </row>
    <row r="854" spans="1:3">
      <c r="A854">
        <v>913889</v>
      </c>
      <c r="B854" t="s">
        <v>1999</v>
      </c>
      <c r="C854">
        <v>2.79</v>
      </c>
    </row>
    <row r="855" spans="1:3">
      <c r="A855">
        <v>9157</v>
      </c>
      <c r="B855" t="s">
        <v>2000</v>
      </c>
      <c r="C855">
        <v>1.61</v>
      </c>
    </row>
    <row r="856" spans="1:3">
      <c r="A856">
        <v>9188</v>
      </c>
      <c r="B856" t="s">
        <v>2001</v>
      </c>
      <c r="C856">
        <v>3.95</v>
      </c>
    </row>
    <row r="857" spans="1:3">
      <c r="A857">
        <v>9802</v>
      </c>
      <c r="B857" t="s">
        <v>2002</v>
      </c>
      <c r="C857">
        <v>51.9</v>
      </c>
    </row>
    <row r="858" spans="1:3">
      <c r="A858">
        <v>9902</v>
      </c>
      <c r="B858" t="s">
        <v>2003</v>
      </c>
      <c r="C858">
        <v>11.75</v>
      </c>
    </row>
    <row r="859" spans="1:3">
      <c r="A859">
        <v>9904</v>
      </c>
      <c r="B859" t="s">
        <v>2004</v>
      </c>
      <c r="C859">
        <v>48.15</v>
      </c>
    </row>
    <row r="860" spans="1:3">
      <c r="A860">
        <v>9905</v>
      </c>
      <c r="B860" t="s">
        <v>2005</v>
      </c>
      <c r="C860">
        <v>29.05</v>
      </c>
    </row>
    <row r="861" spans="1:3">
      <c r="A861">
        <v>9906</v>
      </c>
      <c r="B861" t="s">
        <v>2006</v>
      </c>
      <c r="C861">
        <v>20.6</v>
      </c>
    </row>
    <row r="862" spans="1:3">
      <c r="A862">
        <v>9907</v>
      </c>
      <c r="B862" t="s">
        <v>2007</v>
      </c>
      <c r="C862">
        <v>16.2</v>
      </c>
    </row>
    <row r="863" spans="1:3">
      <c r="A863">
        <v>9908</v>
      </c>
      <c r="B863" t="s">
        <v>2008</v>
      </c>
      <c r="C863">
        <v>22.2</v>
      </c>
    </row>
    <row r="864" spans="1:3">
      <c r="A864">
        <v>9910</v>
      </c>
      <c r="B864" t="s">
        <v>2009</v>
      </c>
      <c r="C864">
        <v>191.5</v>
      </c>
    </row>
    <row r="865" spans="1:3">
      <c r="A865">
        <v>9911</v>
      </c>
      <c r="B865" t="s">
        <v>2010</v>
      </c>
      <c r="C865">
        <v>17.600000000000001</v>
      </c>
    </row>
    <row r="866" spans="1:3">
      <c r="A866">
        <v>9912</v>
      </c>
      <c r="B866" t="s">
        <v>2011</v>
      </c>
      <c r="C866">
        <v>9.0399999999999991</v>
      </c>
    </row>
    <row r="867" spans="1:3">
      <c r="A867">
        <v>9914</v>
      </c>
      <c r="B867" t="s">
        <v>2012</v>
      </c>
      <c r="C867">
        <v>197</v>
      </c>
    </row>
    <row r="868" spans="1:3">
      <c r="A868">
        <v>9917</v>
      </c>
      <c r="B868" t="s">
        <v>2013</v>
      </c>
      <c r="C868">
        <v>95.7</v>
      </c>
    </row>
    <row r="869" spans="1:3">
      <c r="A869">
        <v>9918</v>
      </c>
      <c r="B869" t="s">
        <v>2014</v>
      </c>
      <c r="C869">
        <v>31</v>
      </c>
    </row>
    <row r="870" spans="1:3">
      <c r="A870">
        <v>9919</v>
      </c>
      <c r="B870" t="s">
        <v>2015</v>
      </c>
      <c r="C870">
        <v>12.3</v>
      </c>
    </row>
    <row r="871" spans="1:3">
      <c r="A871">
        <v>9921</v>
      </c>
      <c r="B871" t="s">
        <v>2016</v>
      </c>
      <c r="C871">
        <v>250</v>
      </c>
    </row>
    <row r="872" spans="1:3">
      <c r="A872">
        <v>9924</v>
      </c>
      <c r="B872" t="s">
        <v>2017</v>
      </c>
      <c r="C872">
        <v>49.2</v>
      </c>
    </row>
    <row r="873" spans="1:3">
      <c r="A873">
        <v>9925</v>
      </c>
      <c r="B873" t="s">
        <v>2018</v>
      </c>
      <c r="C873">
        <v>39</v>
      </c>
    </row>
    <row r="874" spans="1:3">
      <c r="A874">
        <v>9926</v>
      </c>
      <c r="B874" t="s">
        <v>2019</v>
      </c>
      <c r="C874">
        <v>40</v>
      </c>
    </row>
    <row r="875" spans="1:3">
      <c r="A875">
        <v>9927</v>
      </c>
      <c r="B875" t="s">
        <v>2020</v>
      </c>
      <c r="C875">
        <v>30.7</v>
      </c>
    </row>
    <row r="876" spans="1:3">
      <c r="A876">
        <v>9928</v>
      </c>
      <c r="B876" t="s">
        <v>2021</v>
      </c>
      <c r="C876">
        <v>12.2</v>
      </c>
    </row>
    <row r="877" spans="1:3">
      <c r="A877">
        <v>9929</v>
      </c>
      <c r="B877" t="s">
        <v>2022</v>
      </c>
      <c r="C877">
        <v>12.8</v>
      </c>
    </row>
    <row r="878" spans="1:3">
      <c r="A878">
        <v>9930</v>
      </c>
      <c r="B878" t="s">
        <v>2023</v>
      </c>
      <c r="C878">
        <v>64.8</v>
      </c>
    </row>
    <row r="879" spans="1:3">
      <c r="A879">
        <v>9931</v>
      </c>
      <c r="B879" t="s">
        <v>2024</v>
      </c>
      <c r="C879">
        <v>31.4</v>
      </c>
    </row>
    <row r="880" spans="1:3">
      <c r="A880">
        <v>9933</v>
      </c>
      <c r="B880" t="s">
        <v>2025</v>
      </c>
      <c r="C880">
        <v>43</v>
      </c>
    </row>
    <row r="881" spans="1:3">
      <c r="A881">
        <v>9934</v>
      </c>
      <c r="B881" t="s">
        <v>2026</v>
      </c>
      <c r="C881">
        <v>16.149999999999999</v>
      </c>
    </row>
    <row r="882" spans="1:3">
      <c r="A882">
        <v>9935</v>
      </c>
      <c r="B882" t="s">
        <v>2027</v>
      </c>
      <c r="C882">
        <v>10.7</v>
      </c>
    </row>
    <row r="883" spans="1:3">
      <c r="A883">
        <v>9937</v>
      </c>
      <c r="B883" t="s">
        <v>2028</v>
      </c>
      <c r="C883">
        <v>36.700000000000003</v>
      </c>
    </row>
    <row r="884" spans="1:3">
      <c r="A884">
        <v>9938</v>
      </c>
      <c r="B884" t="s">
        <v>2029</v>
      </c>
      <c r="C884">
        <v>80.599999999999994</v>
      </c>
    </row>
    <row r="885" spans="1:3">
      <c r="A885">
        <v>9939</v>
      </c>
      <c r="B885" t="s">
        <v>2030</v>
      </c>
      <c r="C885">
        <v>52.9</v>
      </c>
    </row>
    <row r="886" spans="1:3">
      <c r="A886">
        <v>9940</v>
      </c>
      <c r="B886" t="s">
        <v>2031</v>
      </c>
      <c r="C886">
        <v>28.75</v>
      </c>
    </row>
    <row r="887" spans="1:3">
      <c r="A887">
        <v>9941</v>
      </c>
      <c r="B887" t="s">
        <v>2032</v>
      </c>
      <c r="C887">
        <v>75.400000000000006</v>
      </c>
    </row>
    <row r="888" spans="1:3">
      <c r="A888">
        <v>9942</v>
      </c>
      <c r="B888" t="s">
        <v>2033</v>
      </c>
      <c r="C888">
        <v>75.599999999999994</v>
      </c>
    </row>
    <row r="889" spans="1:3">
      <c r="A889">
        <v>9943</v>
      </c>
      <c r="B889" t="s">
        <v>2034</v>
      </c>
      <c r="C889">
        <v>54.7</v>
      </c>
    </row>
    <row r="890" spans="1:3">
      <c r="A890">
        <v>9944</v>
      </c>
      <c r="B890" t="s">
        <v>2035</v>
      </c>
      <c r="C890">
        <v>31.3</v>
      </c>
    </row>
    <row r="891" spans="1:3">
      <c r="A891">
        <v>9945</v>
      </c>
      <c r="B891" t="s">
        <v>2036</v>
      </c>
      <c r="C891">
        <v>39.65</v>
      </c>
    </row>
    <row r="892" spans="1:3">
      <c r="A892">
        <v>9946</v>
      </c>
      <c r="B892" t="s">
        <v>2037</v>
      </c>
      <c r="C892">
        <v>16.649999999999999</v>
      </c>
    </row>
    <row r="893" spans="1:3">
      <c r="A893">
        <v>9955</v>
      </c>
      <c r="B893" t="s">
        <v>2038</v>
      </c>
      <c r="C893">
        <v>13.3</v>
      </c>
    </row>
    <row r="894" spans="1:3">
      <c r="A894">
        <v>9958</v>
      </c>
      <c r="B894" t="s">
        <v>2039</v>
      </c>
      <c r="C894">
        <v>9.9</v>
      </c>
    </row>
    <row r="895" spans="1:3">
      <c r="A895">
        <v>6201</v>
      </c>
      <c r="B895" t="s">
        <v>2040</v>
      </c>
      <c r="C895">
        <v>11.02</v>
      </c>
    </row>
    <row r="896" spans="1:3">
      <c r="A896">
        <v>1256</v>
      </c>
      <c r="B896" t="s">
        <v>2041</v>
      </c>
      <c r="C896">
        <v>155.5</v>
      </c>
    </row>
    <row r="897" spans="1:3">
      <c r="A897">
        <v>1258</v>
      </c>
      <c r="B897" t="s">
        <v>2042</v>
      </c>
      <c r="C897">
        <v>43</v>
      </c>
    </row>
    <row r="898" spans="1:3">
      <c r="A898">
        <v>1259</v>
      </c>
      <c r="B898" t="s">
        <v>302</v>
      </c>
      <c r="C898">
        <v>59.5</v>
      </c>
    </row>
    <row r="899" spans="1:3">
      <c r="A899">
        <v>1264</v>
      </c>
      <c r="B899" t="s">
        <v>303</v>
      </c>
      <c r="C899">
        <v>192</v>
      </c>
    </row>
    <row r="900" spans="1:3">
      <c r="A900">
        <v>1333</v>
      </c>
      <c r="B900" t="s">
        <v>304</v>
      </c>
      <c r="C900">
        <v>5.23</v>
      </c>
    </row>
    <row r="901" spans="1:3">
      <c r="A901">
        <v>1336</v>
      </c>
      <c r="B901" t="s">
        <v>305</v>
      </c>
      <c r="C901">
        <v>8.5500000000000007</v>
      </c>
    </row>
    <row r="902" spans="1:3">
      <c r="A902">
        <v>1565</v>
      </c>
      <c r="B902" t="s">
        <v>2043</v>
      </c>
      <c r="C902">
        <v>496</v>
      </c>
    </row>
    <row r="903" spans="1:3">
      <c r="A903">
        <v>1566</v>
      </c>
      <c r="B903" t="s">
        <v>306</v>
      </c>
      <c r="C903">
        <v>20.6</v>
      </c>
    </row>
    <row r="904" spans="1:3">
      <c r="A904">
        <v>1569</v>
      </c>
      <c r="B904" t="s">
        <v>307</v>
      </c>
      <c r="C904">
        <v>11.7</v>
      </c>
    </row>
    <row r="905" spans="1:3">
      <c r="A905">
        <v>1570</v>
      </c>
      <c r="B905" t="s">
        <v>2044</v>
      </c>
      <c r="C905">
        <v>17.100000000000001</v>
      </c>
    </row>
    <row r="906" spans="1:3">
      <c r="A906">
        <v>1580</v>
      </c>
      <c r="B906" t="s">
        <v>2045</v>
      </c>
      <c r="C906">
        <v>117</v>
      </c>
    </row>
    <row r="907" spans="1:3">
      <c r="A907">
        <v>1584</v>
      </c>
      <c r="B907" t="s">
        <v>2046</v>
      </c>
      <c r="C907">
        <v>13.35</v>
      </c>
    </row>
    <row r="908" spans="1:3">
      <c r="A908">
        <v>1586</v>
      </c>
      <c r="B908" t="s">
        <v>2047</v>
      </c>
      <c r="C908">
        <v>22.45</v>
      </c>
    </row>
    <row r="909" spans="1:3">
      <c r="A909">
        <v>1591</v>
      </c>
      <c r="B909" t="s">
        <v>2048</v>
      </c>
      <c r="C909">
        <v>26.75</v>
      </c>
    </row>
    <row r="910" spans="1:3">
      <c r="A910">
        <v>1593</v>
      </c>
      <c r="B910" t="s">
        <v>308</v>
      </c>
      <c r="C910">
        <v>38</v>
      </c>
    </row>
    <row r="911" spans="1:3">
      <c r="A911">
        <v>1595</v>
      </c>
      <c r="B911" t="s">
        <v>2049</v>
      </c>
      <c r="C911">
        <v>51</v>
      </c>
    </row>
    <row r="912" spans="1:3">
      <c r="A912">
        <v>1597</v>
      </c>
      <c r="B912" t="s">
        <v>309</v>
      </c>
      <c r="C912">
        <v>27.7</v>
      </c>
    </row>
    <row r="913" spans="1:3">
      <c r="A913">
        <v>1599</v>
      </c>
      <c r="B913" t="s">
        <v>2050</v>
      </c>
      <c r="C913">
        <v>60</v>
      </c>
    </row>
    <row r="914" spans="1:3">
      <c r="A914">
        <v>1742</v>
      </c>
      <c r="B914" t="s">
        <v>663</v>
      </c>
      <c r="C914">
        <v>13.45</v>
      </c>
    </row>
    <row r="915" spans="1:3">
      <c r="A915">
        <v>1752</v>
      </c>
      <c r="B915" t="s">
        <v>310</v>
      </c>
      <c r="C915">
        <v>44.75</v>
      </c>
    </row>
    <row r="916" spans="1:3">
      <c r="A916">
        <v>1777</v>
      </c>
      <c r="B916" t="s">
        <v>311</v>
      </c>
      <c r="C916">
        <v>76.599999999999994</v>
      </c>
    </row>
    <row r="917" spans="1:3">
      <c r="A917">
        <v>1781</v>
      </c>
      <c r="B917" t="s">
        <v>2051</v>
      </c>
      <c r="C917">
        <v>26.15</v>
      </c>
    </row>
    <row r="918" spans="1:3">
      <c r="A918">
        <v>1784</v>
      </c>
      <c r="B918" t="s">
        <v>2052</v>
      </c>
      <c r="C918">
        <v>31.85</v>
      </c>
    </row>
    <row r="919" spans="1:3">
      <c r="A919">
        <v>1785</v>
      </c>
      <c r="B919" t="s">
        <v>2053</v>
      </c>
      <c r="C919">
        <v>21.1</v>
      </c>
    </row>
    <row r="920" spans="1:3">
      <c r="A920">
        <v>1787</v>
      </c>
      <c r="B920" t="s">
        <v>312</v>
      </c>
      <c r="C920">
        <v>21.45</v>
      </c>
    </row>
    <row r="921" spans="1:3">
      <c r="A921">
        <v>1788</v>
      </c>
      <c r="B921" t="s">
        <v>2054</v>
      </c>
      <c r="C921">
        <v>90</v>
      </c>
    </row>
    <row r="922" spans="1:3">
      <c r="A922">
        <v>1795</v>
      </c>
      <c r="B922" t="s">
        <v>2055</v>
      </c>
      <c r="C922">
        <v>72.900000000000006</v>
      </c>
    </row>
    <row r="923" spans="1:3">
      <c r="A923">
        <v>1799</v>
      </c>
      <c r="B923" t="s">
        <v>313</v>
      </c>
      <c r="C923">
        <v>30.45</v>
      </c>
    </row>
    <row r="924" spans="1:3">
      <c r="A924">
        <v>1813</v>
      </c>
      <c r="B924" t="s">
        <v>314</v>
      </c>
      <c r="C924">
        <v>26.1</v>
      </c>
    </row>
    <row r="925" spans="1:3">
      <c r="A925">
        <v>1815</v>
      </c>
      <c r="B925" t="s">
        <v>2056</v>
      </c>
      <c r="C925">
        <v>10.75</v>
      </c>
    </row>
    <row r="926" spans="1:3">
      <c r="A926">
        <v>2035</v>
      </c>
      <c r="B926" t="s">
        <v>2057</v>
      </c>
      <c r="C926">
        <v>46.5</v>
      </c>
    </row>
    <row r="927" spans="1:3">
      <c r="A927">
        <v>2061</v>
      </c>
      <c r="B927" t="s">
        <v>315</v>
      </c>
      <c r="C927">
        <v>11.45</v>
      </c>
    </row>
    <row r="928" spans="1:3">
      <c r="A928">
        <v>2063</v>
      </c>
      <c r="B928" t="s">
        <v>316</v>
      </c>
      <c r="C928">
        <v>24.8</v>
      </c>
    </row>
    <row r="929" spans="1:3">
      <c r="A929">
        <v>2064</v>
      </c>
      <c r="B929" t="s">
        <v>317</v>
      </c>
      <c r="C929">
        <v>16.899999999999999</v>
      </c>
    </row>
    <row r="930" spans="1:3">
      <c r="A930">
        <v>2066</v>
      </c>
      <c r="B930" t="s">
        <v>318</v>
      </c>
      <c r="C930">
        <v>97.5</v>
      </c>
    </row>
    <row r="931" spans="1:3">
      <c r="A931">
        <v>2067</v>
      </c>
      <c r="B931" t="s">
        <v>2058</v>
      </c>
      <c r="C931">
        <v>15.25</v>
      </c>
    </row>
    <row r="932" spans="1:3">
      <c r="A932">
        <v>2221</v>
      </c>
      <c r="B932" t="s">
        <v>2059</v>
      </c>
      <c r="C932">
        <v>19.5</v>
      </c>
    </row>
    <row r="933" spans="1:3">
      <c r="A933">
        <v>2230</v>
      </c>
      <c r="B933" t="s">
        <v>319</v>
      </c>
      <c r="C933">
        <v>14.65</v>
      </c>
    </row>
    <row r="934" spans="1:3">
      <c r="A934">
        <v>2233</v>
      </c>
      <c r="B934" t="s">
        <v>320</v>
      </c>
      <c r="C934">
        <v>60.9</v>
      </c>
    </row>
    <row r="935" spans="1:3">
      <c r="A935">
        <v>2235</v>
      </c>
      <c r="B935" t="s">
        <v>321</v>
      </c>
      <c r="C935">
        <v>105</v>
      </c>
    </row>
    <row r="936" spans="1:3">
      <c r="A936">
        <v>2596</v>
      </c>
      <c r="B936" t="s">
        <v>2060</v>
      </c>
      <c r="C936">
        <v>12.75</v>
      </c>
    </row>
    <row r="937" spans="1:3">
      <c r="A937">
        <v>2636</v>
      </c>
      <c r="B937" t="s">
        <v>2061</v>
      </c>
      <c r="C937">
        <v>30.45</v>
      </c>
    </row>
    <row r="938" spans="1:3">
      <c r="A938">
        <v>2640</v>
      </c>
      <c r="B938" t="s">
        <v>2062</v>
      </c>
      <c r="C938">
        <v>73.900000000000006</v>
      </c>
    </row>
    <row r="939" spans="1:3">
      <c r="A939">
        <v>2641</v>
      </c>
      <c r="B939" t="s">
        <v>2063</v>
      </c>
      <c r="C939">
        <v>9.1300000000000008</v>
      </c>
    </row>
    <row r="940" spans="1:3">
      <c r="A940">
        <v>2718</v>
      </c>
      <c r="B940" t="s">
        <v>322</v>
      </c>
      <c r="C940">
        <v>0</v>
      </c>
    </row>
    <row r="941" spans="1:3">
      <c r="A941">
        <v>2719</v>
      </c>
      <c r="B941" t="s">
        <v>323</v>
      </c>
      <c r="C941">
        <v>18.75</v>
      </c>
    </row>
    <row r="942" spans="1:3">
      <c r="A942">
        <v>2724</v>
      </c>
      <c r="B942" t="s">
        <v>2064</v>
      </c>
      <c r="C942">
        <v>17.5</v>
      </c>
    </row>
    <row r="943" spans="1:3">
      <c r="A943">
        <v>2726</v>
      </c>
      <c r="B943" t="s">
        <v>2065</v>
      </c>
      <c r="C943">
        <v>47.7</v>
      </c>
    </row>
    <row r="944" spans="1:3">
      <c r="A944">
        <v>2729</v>
      </c>
      <c r="B944" t="s">
        <v>2066</v>
      </c>
      <c r="C944">
        <v>235</v>
      </c>
    </row>
    <row r="945" spans="1:3">
      <c r="A945">
        <v>2732</v>
      </c>
      <c r="B945" t="s">
        <v>2067</v>
      </c>
      <c r="C945">
        <v>89.8</v>
      </c>
    </row>
    <row r="946" spans="1:3">
      <c r="A946">
        <v>2734</v>
      </c>
      <c r="B946" t="s">
        <v>324</v>
      </c>
      <c r="C946">
        <v>27.95</v>
      </c>
    </row>
    <row r="947" spans="1:3">
      <c r="A947">
        <v>2916</v>
      </c>
      <c r="B947" t="s">
        <v>2068</v>
      </c>
      <c r="C947">
        <v>17.7</v>
      </c>
    </row>
    <row r="948" spans="1:3">
      <c r="A948">
        <v>2924</v>
      </c>
      <c r="B948" t="s">
        <v>2069</v>
      </c>
      <c r="C948">
        <v>64.3</v>
      </c>
    </row>
    <row r="949" spans="1:3">
      <c r="A949">
        <v>2926</v>
      </c>
      <c r="B949" t="s">
        <v>2070</v>
      </c>
      <c r="C949">
        <v>153</v>
      </c>
    </row>
    <row r="950" spans="1:3">
      <c r="A950">
        <v>3064</v>
      </c>
      <c r="B950" t="s">
        <v>2071</v>
      </c>
      <c r="C950">
        <v>23</v>
      </c>
    </row>
    <row r="951" spans="1:3">
      <c r="A951">
        <v>3066</v>
      </c>
      <c r="B951" t="s">
        <v>2072</v>
      </c>
      <c r="C951">
        <v>6.9</v>
      </c>
    </row>
    <row r="952" spans="1:3">
      <c r="A952">
        <v>3067</v>
      </c>
      <c r="B952" t="s">
        <v>325</v>
      </c>
      <c r="C952">
        <v>14.05</v>
      </c>
    </row>
    <row r="953" spans="1:3">
      <c r="A953">
        <v>3068</v>
      </c>
      <c r="B953" t="s">
        <v>326</v>
      </c>
      <c r="C953">
        <v>32</v>
      </c>
    </row>
    <row r="954" spans="1:3">
      <c r="A954">
        <v>3071</v>
      </c>
      <c r="B954" t="s">
        <v>2073</v>
      </c>
      <c r="C954">
        <v>7</v>
      </c>
    </row>
    <row r="955" spans="1:3">
      <c r="A955">
        <v>3073</v>
      </c>
      <c r="B955" t="s">
        <v>2074</v>
      </c>
      <c r="C955">
        <v>6</v>
      </c>
    </row>
    <row r="956" spans="1:3">
      <c r="A956">
        <v>3078</v>
      </c>
      <c r="B956" t="s">
        <v>2075</v>
      </c>
      <c r="C956">
        <v>17.899999999999999</v>
      </c>
    </row>
    <row r="957" spans="1:3">
      <c r="A957">
        <v>3081</v>
      </c>
      <c r="B957" t="s">
        <v>2076</v>
      </c>
      <c r="C957">
        <v>408</v>
      </c>
    </row>
    <row r="958" spans="1:3">
      <c r="A958">
        <v>3083</v>
      </c>
      <c r="B958" t="s">
        <v>2077</v>
      </c>
      <c r="C958">
        <v>44</v>
      </c>
    </row>
    <row r="959" spans="1:3">
      <c r="A959">
        <v>3085</v>
      </c>
      <c r="B959" t="s">
        <v>327</v>
      </c>
      <c r="C959">
        <v>7.14</v>
      </c>
    </row>
    <row r="960" spans="1:3">
      <c r="A960">
        <v>3086</v>
      </c>
      <c r="B960" t="s">
        <v>2078</v>
      </c>
      <c r="C960">
        <v>13.4</v>
      </c>
    </row>
    <row r="961" spans="1:3">
      <c r="A961">
        <v>3088</v>
      </c>
      <c r="B961" t="s">
        <v>328</v>
      </c>
      <c r="C961">
        <v>68.400000000000006</v>
      </c>
    </row>
    <row r="962" spans="1:3">
      <c r="A962">
        <v>3089</v>
      </c>
      <c r="B962" t="s">
        <v>329</v>
      </c>
      <c r="C962">
        <v>22</v>
      </c>
    </row>
    <row r="963" spans="1:3">
      <c r="A963">
        <v>3092</v>
      </c>
      <c r="B963" t="s">
        <v>330</v>
      </c>
      <c r="C963">
        <v>14.9</v>
      </c>
    </row>
    <row r="964" spans="1:3">
      <c r="A964">
        <v>3093</v>
      </c>
      <c r="B964" t="s">
        <v>331</v>
      </c>
      <c r="C964">
        <v>28.45</v>
      </c>
    </row>
    <row r="965" spans="1:3">
      <c r="A965">
        <v>3095</v>
      </c>
      <c r="B965" t="s">
        <v>332</v>
      </c>
      <c r="C965">
        <v>7.6</v>
      </c>
    </row>
    <row r="966" spans="1:3">
      <c r="A966">
        <v>3105</v>
      </c>
      <c r="B966" t="s">
        <v>333</v>
      </c>
      <c r="C966">
        <v>42.05</v>
      </c>
    </row>
    <row r="967" spans="1:3">
      <c r="A967">
        <v>3114</v>
      </c>
      <c r="B967" t="s">
        <v>2079</v>
      </c>
      <c r="C967">
        <v>12.65</v>
      </c>
    </row>
    <row r="968" spans="1:3">
      <c r="A968">
        <v>3115</v>
      </c>
      <c r="B968" t="s">
        <v>2080</v>
      </c>
      <c r="C968">
        <v>9.99</v>
      </c>
    </row>
    <row r="969" spans="1:3">
      <c r="A969">
        <v>3118</v>
      </c>
      <c r="B969" t="s">
        <v>2081</v>
      </c>
      <c r="C969">
        <v>37</v>
      </c>
    </row>
    <row r="970" spans="1:3">
      <c r="A970">
        <v>3122</v>
      </c>
      <c r="B970" t="s">
        <v>2082</v>
      </c>
      <c r="C970">
        <v>16.8</v>
      </c>
    </row>
    <row r="971" spans="1:3">
      <c r="A971">
        <v>3128</v>
      </c>
      <c r="B971" t="s">
        <v>2083</v>
      </c>
      <c r="C971">
        <v>13.8</v>
      </c>
    </row>
    <row r="972" spans="1:3">
      <c r="A972">
        <v>3131</v>
      </c>
      <c r="B972" t="s">
        <v>2084</v>
      </c>
      <c r="C972">
        <v>176</v>
      </c>
    </row>
    <row r="973" spans="1:3">
      <c r="A973">
        <v>3141</v>
      </c>
      <c r="B973" t="s">
        <v>334</v>
      </c>
      <c r="C973">
        <v>20.6</v>
      </c>
    </row>
    <row r="974" spans="1:3">
      <c r="A974">
        <v>3144</v>
      </c>
      <c r="B974" t="s">
        <v>335</v>
      </c>
      <c r="C974">
        <v>17.2</v>
      </c>
    </row>
    <row r="975" spans="1:3">
      <c r="A975">
        <v>3152</v>
      </c>
      <c r="B975" t="s">
        <v>2085</v>
      </c>
      <c r="C975">
        <v>210.5</v>
      </c>
    </row>
    <row r="976" spans="1:3">
      <c r="A976">
        <v>3162</v>
      </c>
      <c r="B976" t="s">
        <v>2086</v>
      </c>
      <c r="C976">
        <v>6.17</v>
      </c>
    </row>
    <row r="977" spans="1:3">
      <c r="A977">
        <v>3163</v>
      </c>
      <c r="B977" t="s">
        <v>336</v>
      </c>
      <c r="C977">
        <v>39.4</v>
      </c>
    </row>
    <row r="978" spans="1:3">
      <c r="A978">
        <v>3169</v>
      </c>
      <c r="B978" t="s">
        <v>2087</v>
      </c>
      <c r="C978">
        <v>31</v>
      </c>
    </row>
    <row r="979" spans="1:3">
      <c r="A979">
        <v>3171</v>
      </c>
      <c r="B979" t="s">
        <v>2088</v>
      </c>
      <c r="C979">
        <v>18</v>
      </c>
    </row>
    <row r="980" spans="1:3">
      <c r="A980">
        <v>3176</v>
      </c>
      <c r="B980" t="s">
        <v>337</v>
      </c>
      <c r="C980">
        <v>93.7</v>
      </c>
    </row>
    <row r="981" spans="1:3">
      <c r="A981">
        <v>3188</v>
      </c>
      <c r="B981" t="s">
        <v>338</v>
      </c>
      <c r="C981">
        <v>9.91</v>
      </c>
    </row>
    <row r="982" spans="1:3">
      <c r="A982">
        <v>3191</v>
      </c>
      <c r="B982" t="s">
        <v>2089</v>
      </c>
      <c r="C982">
        <v>17.2</v>
      </c>
    </row>
    <row r="983" spans="1:3">
      <c r="A983">
        <v>3202</v>
      </c>
      <c r="B983" t="s">
        <v>2090</v>
      </c>
      <c r="C983">
        <v>6.76</v>
      </c>
    </row>
    <row r="984" spans="1:3">
      <c r="A984">
        <v>3205</v>
      </c>
      <c r="B984" t="s">
        <v>339</v>
      </c>
      <c r="C984">
        <v>210.5</v>
      </c>
    </row>
    <row r="985" spans="1:3">
      <c r="A985">
        <v>3206</v>
      </c>
      <c r="B985" t="s">
        <v>2091</v>
      </c>
      <c r="C985">
        <v>24.95</v>
      </c>
    </row>
    <row r="986" spans="1:3">
      <c r="A986">
        <v>3207</v>
      </c>
      <c r="B986" t="s">
        <v>340</v>
      </c>
      <c r="C986">
        <v>9.07</v>
      </c>
    </row>
    <row r="987" spans="1:3">
      <c r="A987">
        <v>3211</v>
      </c>
      <c r="B987" t="s">
        <v>2092</v>
      </c>
      <c r="C987">
        <v>53</v>
      </c>
    </row>
    <row r="988" spans="1:3">
      <c r="A988">
        <v>3213</v>
      </c>
      <c r="B988" t="s">
        <v>2093</v>
      </c>
      <c r="C988">
        <v>40.450000000000003</v>
      </c>
    </row>
    <row r="989" spans="1:3">
      <c r="A989">
        <v>3217</v>
      </c>
      <c r="B989" t="s">
        <v>2094</v>
      </c>
      <c r="C989">
        <v>12.85</v>
      </c>
    </row>
    <row r="990" spans="1:3">
      <c r="A990">
        <v>3218</v>
      </c>
      <c r="B990" t="s">
        <v>341</v>
      </c>
      <c r="C990">
        <v>25.6</v>
      </c>
    </row>
    <row r="991" spans="1:3">
      <c r="A991">
        <v>3219</v>
      </c>
      <c r="B991" t="s">
        <v>2095</v>
      </c>
      <c r="C991">
        <v>12.3</v>
      </c>
    </row>
    <row r="992" spans="1:3">
      <c r="A992">
        <v>3221</v>
      </c>
      <c r="B992" t="s">
        <v>2096</v>
      </c>
      <c r="C992">
        <v>16.8</v>
      </c>
    </row>
    <row r="993" spans="1:3">
      <c r="A993">
        <v>3224</v>
      </c>
      <c r="B993" t="s">
        <v>2097</v>
      </c>
      <c r="C993">
        <v>33</v>
      </c>
    </row>
    <row r="994" spans="1:3">
      <c r="A994">
        <v>3226</v>
      </c>
      <c r="B994" t="s">
        <v>342</v>
      </c>
      <c r="C994">
        <v>50</v>
      </c>
    </row>
    <row r="995" spans="1:3">
      <c r="A995">
        <v>3227</v>
      </c>
      <c r="B995" t="s">
        <v>343</v>
      </c>
      <c r="C995">
        <v>77.2</v>
      </c>
    </row>
    <row r="996" spans="1:3">
      <c r="A996">
        <v>3228</v>
      </c>
      <c r="B996" t="s">
        <v>344</v>
      </c>
      <c r="C996">
        <v>23.65</v>
      </c>
    </row>
    <row r="997" spans="1:3">
      <c r="A997">
        <v>3230</v>
      </c>
      <c r="B997" t="s">
        <v>2098</v>
      </c>
      <c r="C997">
        <v>6.72</v>
      </c>
    </row>
    <row r="998" spans="1:3">
      <c r="A998">
        <v>3232</v>
      </c>
      <c r="B998" t="s">
        <v>345</v>
      </c>
      <c r="C998">
        <v>26.45</v>
      </c>
    </row>
    <row r="999" spans="1:3">
      <c r="A999">
        <v>3234</v>
      </c>
      <c r="B999" t="s">
        <v>346</v>
      </c>
      <c r="C999">
        <v>98.6</v>
      </c>
    </row>
    <row r="1000" spans="1:3">
      <c r="A1000">
        <v>3236</v>
      </c>
      <c r="B1000" t="s">
        <v>347</v>
      </c>
      <c r="C1000">
        <v>11.95</v>
      </c>
    </row>
    <row r="1001" spans="1:3">
      <c r="A1001">
        <v>3252</v>
      </c>
      <c r="B1001" t="s">
        <v>348</v>
      </c>
      <c r="C1001">
        <v>20.350000000000001</v>
      </c>
    </row>
    <row r="1002" spans="1:3">
      <c r="A1002">
        <v>3259</v>
      </c>
      <c r="B1002" t="s">
        <v>2099</v>
      </c>
      <c r="C1002">
        <v>30.85</v>
      </c>
    </row>
    <row r="1003" spans="1:3">
      <c r="A1003">
        <v>3260</v>
      </c>
      <c r="B1003" t="s">
        <v>2100</v>
      </c>
      <c r="C1003">
        <v>34.1</v>
      </c>
    </row>
    <row r="1004" spans="1:3">
      <c r="A1004">
        <v>3264</v>
      </c>
      <c r="B1004" t="s">
        <v>2101</v>
      </c>
      <c r="C1004">
        <v>24.15</v>
      </c>
    </row>
    <row r="1005" spans="1:3">
      <c r="A1005">
        <v>3265</v>
      </c>
      <c r="B1005" t="s">
        <v>349</v>
      </c>
      <c r="C1005">
        <v>27.8</v>
      </c>
    </row>
    <row r="1006" spans="1:3">
      <c r="A1006">
        <v>3268</v>
      </c>
      <c r="B1006" t="s">
        <v>350</v>
      </c>
      <c r="C1006">
        <v>15.3</v>
      </c>
    </row>
    <row r="1007" spans="1:3">
      <c r="A1007">
        <v>3272</v>
      </c>
      <c r="B1007" t="s">
        <v>351</v>
      </c>
      <c r="C1007">
        <v>70.099999999999994</v>
      </c>
    </row>
    <row r="1008" spans="1:3">
      <c r="A1008">
        <v>3276</v>
      </c>
      <c r="B1008" t="s">
        <v>2102</v>
      </c>
      <c r="C1008">
        <v>9.7799999999999994</v>
      </c>
    </row>
    <row r="1009" spans="1:3">
      <c r="A1009">
        <v>3284</v>
      </c>
      <c r="B1009" t="s">
        <v>352</v>
      </c>
      <c r="C1009">
        <v>9.41</v>
      </c>
    </row>
    <row r="1010" spans="1:3">
      <c r="A1010">
        <v>3285</v>
      </c>
      <c r="B1010" t="s">
        <v>353</v>
      </c>
      <c r="C1010">
        <v>32.75</v>
      </c>
    </row>
    <row r="1011" spans="1:3">
      <c r="A1011">
        <v>3287</v>
      </c>
      <c r="B1011" t="s">
        <v>2103</v>
      </c>
      <c r="C1011">
        <v>9.1999999999999993</v>
      </c>
    </row>
    <row r="1012" spans="1:3">
      <c r="A1012">
        <v>3288</v>
      </c>
      <c r="B1012" t="s">
        <v>2104</v>
      </c>
      <c r="C1012">
        <v>8.6300000000000008</v>
      </c>
    </row>
    <row r="1013" spans="1:3">
      <c r="A1013">
        <v>3289</v>
      </c>
      <c r="B1013" t="s">
        <v>2105</v>
      </c>
      <c r="C1013">
        <v>92.9</v>
      </c>
    </row>
    <row r="1014" spans="1:3">
      <c r="A1014">
        <v>3290</v>
      </c>
      <c r="B1014" t="s">
        <v>2106</v>
      </c>
      <c r="C1014">
        <v>16.55</v>
      </c>
    </row>
    <row r="1015" spans="1:3">
      <c r="A1015">
        <v>3291</v>
      </c>
      <c r="B1015" t="s">
        <v>354</v>
      </c>
      <c r="C1015">
        <v>16.75</v>
      </c>
    </row>
    <row r="1016" spans="1:3">
      <c r="A1016">
        <v>3293</v>
      </c>
      <c r="B1016" t="s">
        <v>2107</v>
      </c>
      <c r="C1016">
        <v>91.1</v>
      </c>
    </row>
    <row r="1017" spans="1:3">
      <c r="A1017">
        <v>3294</v>
      </c>
      <c r="B1017" t="s">
        <v>355</v>
      </c>
      <c r="C1017">
        <v>17.649999999999999</v>
      </c>
    </row>
    <row r="1018" spans="1:3">
      <c r="A1018">
        <v>3297</v>
      </c>
      <c r="B1018" t="s">
        <v>356</v>
      </c>
      <c r="C1018">
        <v>18.850000000000001</v>
      </c>
    </row>
    <row r="1019" spans="1:3">
      <c r="A1019">
        <v>3299</v>
      </c>
      <c r="B1019" t="s">
        <v>357</v>
      </c>
      <c r="C1019">
        <v>50.8</v>
      </c>
    </row>
    <row r="1020" spans="1:3">
      <c r="A1020">
        <v>3303</v>
      </c>
      <c r="B1020" t="s">
        <v>358</v>
      </c>
      <c r="C1020">
        <v>18.600000000000001</v>
      </c>
    </row>
    <row r="1021" spans="1:3">
      <c r="A1021">
        <v>3306</v>
      </c>
      <c r="B1021" t="s">
        <v>2108</v>
      </c>
      <c r="C1021">
        <v>26.65</v>
      </c>
    </row>
    <row r="1022" spans="1:3">
      <c r="A1022">
        <v>3310</v>
      </c>
      <c r="B1022" t="s">
        <v>2109</v>
      </c>
      <c r="C1022">
        <v>13.4</v>
      </c>
    </row>
    <row r="1023" spans="1:3">
      <c r="A1023">
        <v>3313</v>
      </c>
      <c r="B1023" t="s">
        <v>359</v>
      </c>
      <c r="C1023">
        <v>8.1199999999999992</v>
      </c>
    </row>
    <row r="1024" spans="1:3">
      <c r="A1024">
        <v>3317</v>
      </c>
      <c r="B1024" t="s">
        <v>2110</v>
      </c>
      <c r="C1024">
        <v>12.55</v>
      </c>
    </row>
    <row r="1025" spans="1:3">
      <c r="A1025">
        <v>3322</v>
      </c>
      <c r="B1025" t="s">
        <v>2111</v>
      </c>
      <c r="C1025">
        <v>12.05</v>
      </c>
    </row>
    <row r="1026" spans="1:3">
      <c r="A1026">
        <v>3323</v>
      </c>
      <c r="B1026" t="s">
        <v>360</v>
      </c>
      <c r="C1026">
        <v>19.55</v>
      </c>
    </row>
    <row r="1027" spans="1:3">
      <c r="A1027">
        <v>3324</v>
      </c>
      <c r="B1027" t="s">
        <v>2112</v>
      </c>
      <c r="C1027">
        <v>22.6</v>
      </c>
    </row>
    <row r="1028" spans="1:3">
      <c r="A1028">
        <v>3325</v>
      </c>
      <c r="B1028" t="s">
        <v>2113</v>
      </c>
      <c r="C1028">
        <v>14.85</v>
      </c>
    </row>
    <row r="1029" spans="1:3">
      <c r="A1029">
        <v>3332</v>
      </c>
      <c r="B1029" t="s">
        <v>361</v>
      </c>
      <c r="C1029">
        <v>39.35</v>
      </c>
    </row>
    <row r="1030" spans="1:3">
      <c r="A1030">
        <v>3339</v>
      </c>
      <c r="B1030" t="s">
        <v>2114</v>
      </c>
      <c r="C1030">
        <v>4.79</v>
      </c>
    </row>
    <row r="1031" spans="1:3">
      <c r="A1031">
        <v>3354</v>
      </c>
      <c r="B1031" t="s">
        <v>2115</v>
      </c>
      <c r="C1031">
        <v>8.39</v>
      </c>
    </row>
    <row r="1032" spans="1:3">
      <c r="A1032">
        <v>3360</v>
      </c>
      <c r="B1032" t="s">
        <v>362</v>
      </c>
      <c r="C1032">
        <v>13.3</v>
      </c>
    </row>
    <row r="1033" spans="1:3">
      <c r="A1033">
        <v>3362</v>
      </c>
      <c r="B1033" t="s">
        <v>2116</v>
      </c>
      <c r="C1033">
        <v>16.399999999999999</v>
      </c>
    </row>
    <row r="1034" spans="1:3">
      <c r="A1034">
        <v>3363</v>
      </c>
      <c r="B1034" t="s">
        <v>363</v>
      </c>
      <c r="C1034">
        <v>26.4</v>
      </c>
    </row>
    <row r="1035" spans="1:3">
      <c r="A1035">
        <v>3372</v>
      </c>
      <c r="B1035" t="s">
        <v>364</v>
      </c>
      <c r="C1035">
        <v>7.46</v>
      </c>
    </row>
    <row r="1036" spans="1:3">
      <c r="A1036">
        <v>3373</v>
      </c>
      <c r="B1036" t="s">
        <v>365</v>
      </c>
      <c r="C1036">
        <v>21.25</v>
      </c>
    </row>
    <row r="1037" spans="1:3">
      <c r="A1037">
        <v>3374</v>
      </c>
      <c r="B1037" t="s">
        <v>366</v>
      </c>
      <c r="C1037">
        <v>41.3</v>
      </c>
    </row>
    <row r="1038" spans="1:3">
      <c r="A1038">
        <v>3379</v>
      </c>
      <c r="B1038" t="s">
        <v>2117</v>
      </c>
      <c r="C1038">
        <v>16.850000000000001</v>
      </c>
    </row>
    <row r="1039" spans="1:3">
      <c r="A1039">
        <v>3388</v>
      </c>
      <c r="B1039" t="s">
        <v>367</v>
      </c>
      <c r="C1039">
        <v>63</v>
      </c>
    </row>
    <row r="1040" spans="1:3">
      <c r="A1040">
        <v>3390</v>
      </c>
      <c r="B1040" t="s">
        <v>2118</v>
      </c>
      <c r="C1040">
        <v>17.75</v>
      </c>
    </row>
    <row r="1041" spans="1:3">
      <c r="A1041">
        <v>3402</v>
      </c>
      <c r="B1041" t="s">
        <v>2119</v>
      </c>
      <c r="C1041">
        <v>15.15</v>
      </c>
    </row>
    <row r="1042" spans="1:3">
      <c r="A1042">
        <v>3428</v>
      </c>
      <c r="B1042" t="s">
        <v>368</v>
      </c>
      <c r="C1042">
        <v>50.3</v>
      </c>
    </row>
    <row r="1043" spans="1:3">
      <c r="A1043">
        <v>3431</v>
      </c>
      <c r="B1043" t="s">
        <v>2120</v>
      </c>
      <c r="C1043">
        <v>9.9700000000000006</v>
      </c>
    </row>
    <row r="1044" spans="1:3">
      <c r="A1044">
        <v>3434</v>
      </c>
      <c r="B1044" t="s">
        <v>369</v>
      </c>
      <c r="C1044">
        <v>9.4600000000000009</v>
      </c>
    </row>
    <row r="1045" spans="1:3">
      <c r="A1045">
        <v>3438</v>
      </c>
      <c r="B1045" t="s">
        <v>2121</v>
      </c>
      <c r="C1045">
        <v>19.600000000000001</v>
      </c>
    </row>
    <row r="1046" spans="1:3">
      <c r="A1046">
        <v>3441</v>
      </c>
      <c r="B1046" t="s">
        <v>2122</v>
      </c>
      <c r="C1046">
        <v>12.35</v>
      </c>
    </row>
    <row r="1047" spans="1:3">
      <c r="A1047">
        <v>3444</v>
      </c>
      <c r="B1047" t="s">
        <v>2123</v>
      </c>
      <c r="C1047">
        <v>15.55</v>
      </c>
    </row>
    <row r="1048" spans="1:3">
      <c r="A1048">
        <v>3452</v>
      </c>
      <c r="B1048" t="s">
        <v>2124</v>
      </c>
      <c r="C1048">
        <v>12.55</v>
      </c>
    </row>
    <row r="1049" spans="1:3">
      <c r="A1049">
        <v>3455</v>
      </c>
      <c r="B1049" t="s">
        <v>370</v>
      </c>
      <c r="C1049">
        <v>28.3</v>
      </c>
    </row>
    <row r="1050" spans="1:3">
      <c r="A1050">
        <v>3465</v>
      </c>
      <c r="B1050" t="s">
        <v>2125</v>
      </c>
      <c r="C1050">
        <v>0</v>
      </c>
    </row>
    <row r="1051" spans="1:3">
      <c r="A1051">
        <v>3466</v>
      </c>
      <c r="B1051" t="s">
        <v>371</v>
      </c>
      <c r="C1051">
        <v>27.1</v>
      </c>
    </row>
    <row r="1052" spans="1:3">
      <c r="A1052">
        <v>3479</v>
      </c>
      <c r="B1052" t="s">
        <v>2126</v>
      </c>
      <c r="C1052">
        <v>47.3</v>
      </c>
    </row>
    <row r="1053" spans="1:3">
      <c r="A1053">
        <v>3483</v>
      </c>
      <c r="B1053" t="s">
        <v>372</v>
      </c>
      <c r="C1053">
        <v>13.15</v>
      </c>
    </row>
    <row r="1054" spans="1:3">
      <c r="A1054">
        <v>3484</v>
      </c>
      <c r="B1054" t="s">
        <v>373</v>
      </c>
      <c r="C1054">
        <v>40.65</v>
      </c>
    </row>
    <row r="1055" spans="1:3">
      <c r="A1055">
        <v>3489</v>
      </c>
      <c r="B1055" t="s">
        <v>374</v>
      </c>
      <c r="C1055">
        <v>11.35</v>
      </c>
    </row>
    <row r="1056" spans="1:3">
      <c r="A1056">
        <v>3490</v>
      </c>
      <c r="B1056" t="s">
        <v>375</v>
      </c>
      <c r="C1056">
        <v>82.3</v>
      </c>
    </row>
    <row r="1057" spans="1:3">
      <c r="A1057">
        <v>3491</v>
      </c>
      <c r="B1057" t="s">
        <v>2127</v>
      </c>
      <c r="C1057">
        <v>80.5</v>
      </c>
    </row>
    <row r="1058" spans="1:3">
      <c r="A1058">
        <v>3492</v>
      </c>
      <c r="B1058" t="s">
        <v>2128</v>
      </c>
      <c r="C1058">
        <v>29.5</v>
      </c>
    </row>
    <row r="1059" spans="1:3">
      <c r="A1059">
        <v>3498</v>
      </c>
      <c r="B1059" t="s">
        <v>2129</v>
      </c>
      <c r="C1059">
        <v>71.900000000000006</v>
      </c>
    </row>
    <row r="1060" spans="1:3">
      <c r="A1060">
        <v>3499</v>
      </c>
      <c r="B1060" t="s">
        <v>376</v>
      </c>
      <c r="C1060">
        <v>22.05</v>
      </c>
    </row>
    <row r="1061" spans="1:3">
      <c r="A1061">
        <v>3508</v>
      </c>
      <c r="B1061" t="s">
        <v>377</v>
      </c>
      <c r="C1061">
        <v>15.8</v>
      </c>
    </row>
    <row r="1062" spans="1:3">
      <c r="A1062">
        <v>3511</v>
      </c>
      <c r="B1062" t="s">
        <v>2130</v>
      </c>
      <c r="C1062">
        <v>40.1</v>
      </c>
    </row>
    <row r="1063" spans="1:3">
      <c r="A1063">
        <v>3512</v>
      </c>
      <c r="B1063" t="s">
        <v>2131</v>
      </c>
      <c r="C1063">
        <v>36.549999999999997</v>
      </c>
    </row>
    <row r="1064" spans="1:3">
      <c r="A1064">
        <v>3516</v>
      </c>
      <c r="B1064" t="s">
        <v>378</v>
      </c>
      <c r="C1064">
        <v>9.1199999999999992</v>
      </c>
    </row>
    <row r="1065" spans="1:3">
      <c r="A1065">
        <v>3520</v>
      </c>
      <c r="B1065" t="s">
        <v>2132</v>
      </c>
      <c r="C1065">
        <v>87.7</v>
      </c>
    </row>
    <row r="1066" spans="1:3">
      <c r="A1066">
        <v>3521</v>
      </c>
      <c r="B1066" t="s">
        <v>2133</v>
      </c>
      <c r="C1066">
        <v>14</v>
      </c>
    </row>
    <row r="1067" spans="1:3">
      <c r="A1067">
        <v>3522</v>
      </c>
      <c r="B1067" t="s">
        <v>379</v>
      </c>
      <c r="C1067">
        <v>10.55</v>
      </c>
    </row>
    <row r="1068" spans="1:3">
      <c r="A1068">
        <v>3523</v>
      </c>
      <c r="B1068" t="s">
        <v>2134</v>
      </c>
      <c r="C1068">
        <v>21.7</v>
      </c>
    </row>
    <row r="1069" spans="1:3">
      <c r="A1069">
        <v>3526</v>
      </c>
      <c r="B1069" t="s">
        <v>2135</v>
      </c>
      <c r="C1069">
        <v>22.8</v>
      </c>
    </row>
    <row r="1070" spans="1:3">
      <c r="A1070">
        <v>3527</v>
      </c>
      <c r="B1070" t="s">
        <v>380</v>
      </c>
      <c r="C1070">
        <v>41.45</v>
      </c>
    </row>
    <row r="1071" spans="1:3">
      <c r="A1071">
        <v>3528</v>
      </c>
      <c r="B1071" t="s">
        <v>2136</v>
      </c>
      <c r="C1071">
        <v>31.2</v>
      </c>
    </row>
    <row r="1072" spans="1:3">
      <c r="A1072">
        <v>3529</v>
      </c>
      <c r="B1072" t="s">
        <v>381</v>
      </c>
      <c r="C1072">
        <v>316</v>
      </c>
    </row>
    <row r="1073" spans="1:3">
      <c r="A1073">
        <v>3531</v>
      </c>
      <c r="B1073" t="s">
        <v>2137</v>
      </c>
      <c r="C1073">
        <v>15.9</v>
      </c>
    </row>
    <row r="1074" spans="1:3">
      <c r="A1074">
        <v>3537</v>
      </c>
      <c r="B1074" t="s">
        <v>382</v>
      </c>
      <c r="C1074">
        <v>17.350000000000001</v>
      </c>
    </row>
    <row r="1075" spans="1:3">
      <c r="A1075">
        <v>3540</v>
      </c>
      <c r="B1075" t="s">
        <v>2138</v>
      </c>
      <c r="C1075">
        <v>14.2</v>
      </c>
    </row>
    <row r="1076" spans="1:3">
      <c r="A1076">
        <v>3541</v>
      </c>
      <c r="B1076" t="s">
        <v>2139</v>
      </c>
      <c r="C1076">
        <v>93</v>
      </c>
    </row>
    <row r="1077" spans="1:3">
      <c r="A1077">
        <v>3546</v>
      </c>
      <c r="B1077" t="s">
        <v>2140</v>
      </c>
      <c r="C1077">
        <v>35.799999999999997</v>
      </c>
    </row>
    <row r="1078" spans="1:3">
      <c r="A1078">
        <v>3548</v>
      </c>
      <c r="B1078" t="s">
        <v>383</v>
      </c>
      <c r="C1078">
        <v>32.6</v>
      </c>
    </row>
    <row r="1079" spans="1:3">
      <c r="A1079">
        <v>3551</v>
      </c>
      <c r="B1079" t="s">
        <v>384</v>
      </c>
      <c r="C1079">
        <v>34.700000000000003</v>
      </c>
    </row>
    <row r="1080" spans="1:3">
      <c r="A1080">
        <v>3552</v>
      </c>
      <c r="B1080" t="s">
        <v>2141</v>
      </c>
      <c r="C1080">
        <v>230.5</v>
      </c>
    </row>
    <row r="1081" spans="1:3">
      <c r="A1081">
        <v>3553</v>
      </c>
      <c r="B1081" t="s">
        <v>385</v>
      </c>
      <c r="C1081">
        <v>15.2</v>
      </c>
    </row>
    <row r="1082" spans="1:3">
      <c r="A1082">
        <v>3555</v>
      </c>
      <c r="B1082" t="s">
        <v>2142</v>
      </c>
      <c r="C1082">
        <v>7.63</v>
      </c>
    </row>
    <row r="1083" spans="1:3">
      <c r="A1083">
        <v>3556</v>
      </c>
      <c r="B1083" t="s">
        <v>386</v>
      </c>
      <c r="C1083">
        <v>58.2</v>
      </c>
    </row>
    <row r="1084" spans="1:3">
      <c r="A1084">
        <v>3558</v>
      </c>
      <c r="B1084" t="s">
        <v>387</v>
      </c>
      <c r="C1084">
        <v>211.5</v>
      </c>
    </row>
    <row r="1085" spans="1:3">
      <c r="A1085">
        <v>3562</v>
      </c>
      <c r="B1085" t="s">
        <v>388</v>
      </c>
      <c r="C1085">
        <v>0</v>
      </c>
    </row>
    <row r="1086" spans="1:3">
      <c r="A1086">
        <v>3563</v>
      </c>
      <c r="B1086" t="s">
        <v>389</v>
      </c>
      <c r="C1086">
        <v>40.75</v>
      </c>
    </row>
    <row r="1087" spans="1:3">
      <c r="A1087">
        <v>3564</v>
      </c>
      <c r="B1087" t="s">
        <v>2143</v>
      </c>
      <c r="C1087">
        <v>70.2</v>
      </c>
    </row>
    <row r="1088" spans="1:3">
      <c r="A1088">
        <v>3567</v>
      </c>
      <c r="B1088" t="s">
        <v>2144</v>
      </c>
      <c r="C1088">
        <v>11.3</v>
      </c>
    </row>
    <row r="1089" spans="1:3">
      <c r="A1089">
        <v>3570</v>
      </c>
      <c r="B1089" t="s">
        <v>2145</v>
      </c>
      <c r="C1089">
        <v>78.599999999999994</v>
      </c>
    </row>
    <row r="1090" spans="1:3">
      <c r="A1090">
        <v>3577</v>
      </c>
      <c r="B1090" t="s">
        <v>2146</v>
      </c>
      <c r="C1090">
        <v>31.85</v>
      </c>
    </row>
    <row r="1091" spans="1:3">
      <c r="A1091">
        <v>3580</v>
      </c>
      <c r="B1091" t="s">
        <v>2147</v>
      </c>
      <c r="C1091">
        <v>5.92</v>
      </c>
    </row>
    <row r="1092" spans="1:3">
      <c r="A1092">
        <v>3581</v>
      </c>
      <c r="B1092" t="s">
        <v>2148</v>
      </c>
      <c r="C1092">
        <v>15.1</v>
      </c>
    </row>
    <row r="1093" spans="1:3">
      <c r="A1093">
        <v>3587</v>
      </c>
      <c r="B1093" t="s">
        <v>2149</v>
      </c>
      <c r="C1093">
        <v>62.9</v>
      </c>
    </row>
    <row r="1094" spans="1:3">
      <c r="A1094">
        <v>3594</v>
      </c>
      <c r="B1094" t="s">
        <v>390</v>
      </c>
      <c r="C1094">
        <v>32.9</v>
      </c>
    </row>
    <row r="1095" spans="1:3">
      <c r="A1095">
        <v>3609</v>
      </c>
      <c r="B1095" t="s">
        <v>391</v>
      </c>
      <c r="C1095">
        <v>13.05</v>
      </c>
    </row>
    <row r="1096" spans="1:3">
      <c r="A1096">
        <v>3611</v>
      </c>
      <c r="B1096" t="s">
        <v>392</v>
      </c>
      <c r="C1096">
        <v>250.5</v>
      </c>
    </row>
    <row r="1097" spans="1:3">
      <c r="A1097">
        <v>3615</v>
      </c>
      <c r="B1097" t="s">
        <v>2150</v>
      </c>
      <c r="C1097">
        <v>17.3</v>
      </c>
    </row>
    <row r="1098" spans="1:3">
      <c r="A1098">
        <v>3623</v>
      </c>
      <c r="B1098" t="s">
        <v>393</v>
      </c>
      <c r="C1098">
        <v>38.950000000000003</v>
      </c>
    </row>
    <row r="1099" spans="1:3">
      <c r="A1099">
        <v>3624</v>
      </c>
      <c r="B1099" t="s">
        <v>394</v>
      </c>
      <c r="C1099">
        <v>23.3</v>
      </c>
    </row>
    <row r="1100" spans="1:3">
      <c r="A1100">
        <v>3625</v>
      </c>
      <c r="B1100" t="s">
        <v>395</v>
      </c>
      <c r="C1100">
        <v>11.3</v>
      </c>
    </row>
    <row r="1101" spans="1:3">
      <c r="A1101">
        <v>3628</v>
      </c>
      <c r="B1101" t="s">
        <v>2151</v>
      </c>
      <c r="C1101">
        <v>51.2</v>
      </c>
    </row>
    <row r="1102" spans="1:3">
      <c r="A1102">
        <v>3629</v>
      </c>
      <c r="B1102" t="s">
        <v>2152</v>
      </c>
      <c r="C1102">
        <v>9.1999999999999993</v>
      </c>
    </row>
    <row r="1103" spans="1:3">
      <c r="A1103">
        <v>3630</v>
      </c>
      <c r="B1103" t="s">
        <v>396</v>
      </c>
      <c r="C1103">
        <v>18.899999999999999</v>
      </c>
    </row>
    <row r="1104" spans="1:3">
      <c r="A1104">
        <v>3631</v>
      </c>
      <c r="B1104" t="s">
        <v>397</v>
      </c>
      <c r="C1104">
        <v>27.4</v>
      </c>
    </row>
    <row r="1105" spans="1:3">
      <c r="A1105">
        <v>3632</v>
      </c>
      <c r="B1105" t="s">
        <v>2153</v>
      </c>
      <c r="C1105">
        <v>27</v>
      </c>
    </row>
    <row r="1106" spans="1:3">
      <c r="A1106">
        <v>3642</v>
      </c>
      <c r="B1106" t="s">
        <v>2154</v>
      </c>
      <c r="C1106">
        <v>18</v>
      </c>
    </row>
    <row r="1107" spans="1:3">
      <c r="A1107">
        <v>3646</v>
      </c>
      <c r="B1107" t="s">
        <v>2155</v>
      </c>
      <c r="C1107">
        <v>12.6</v>
      </c>
    </row>
    <row r="1108" spans="1:3">
      <c r="A1108">
        <v>3652</v>
      </c>
      <c r="B1108" t="s">
        <v>398</v>
      </c>
      <c r="C1108">
        <v>18.05</v>
      </c>
    </row>
    <row r="1109" spans="1:3">
      <c r="A1109">
        <v>3658</v>
      </c>
      <c r="B1109" t="s">
        <v>399</v>
      </c>
      <c r="C1109">
        <v>1240</v>
      </c>
    </row>
    <row r="1110" spans="1:3">
      <c r="A1110">
        <v>3662</v>
      </c>
      <c r="B1110" t="s">
        <v>2156</v>
      </c>
      <c r="C1110">
        <v>92.8</v>
      </c>
    </row>
    <row r="1111" spans="1:3">
      <c r="A1111">
        <v>3663</v>
      </c>
      <c r="B1111" t="s">
        <v>2157</v>
      </c>
      <c r="C1111">
        <v>18.350000000000001</v>
      </c>
    </row>
    <row r="1112" spans="1:3">
      <c r="A1112">
        <v>3664</v>
      </c>
      <c r="B1112" t="s">
        <v>2158</v>
      </c>
      <c r="C1112">
        <v>17.2</v>
      </c>
    </row>
    <row r="1113" spans="1:3">
      <c r="A1113">
        <v>3666</v>
      </c>
      <c r="B1113" t="s">
        <v>400</v>
      </c>
      <c r="C1113">
        <v>18.55</v>
      </c>
    </row>
    <row r="1114" spans="1:3">
      <c r="A1114">
        <v>3672</v>
      </c>
      <c r="B1114" t="s">
        <v>401</v>
      </c>
      <c r="C1114">
        <v>40.65</v>
      </c>
    </row>
    <row r="1115" spans="1:3">
      <c r="A1115">
        <v>3675</v>
      </c>
      <c r="B1115" t="s">
        <v>2159</v>
      </c>
      <c r="C1115">
        <v>23.75</v>
      </c>
    </row>
    <row r="1116" spans="1:3">
      <c r="A1116">
        <v>3680</v>
      </c>
      <c r="B1116" t="s">
        <v>2160</v>
      </c>
      <c r="C1116">
        <v>33.549999999999997</v>
      </c>
    </row>
    <row r="1117" spans="1:3">
      <c r="A1117">
        <v>3684</v>
      </c>
      <c r="B1117" t="s">
        <v>2161</v>
      </c>
      <c r="C1117">
        <v>59.6</v>
      </c>
    </row>
    <row r="1118" spans="1:3">
      <c r="A1118">
        <v>3685</v>
      </c>
      <c r="B1118" t="s">
        <v>2162</v>
      </c>
      <c r="C1118">
        <v>49.35</v>
      </c>
    </row>
    <row r="1119" spans="1:3">
      <c r="A1119">
        <v>3687</v>
      </c>
      <c r="B1119" t="s">
        <v>402</v>
      </c>
      <c r="C1119">
        <v>77.8</v>
      </c>
    </row>
    <row r="1120" spans="1:3">
      <c r="A1120">
        <v>3689</v>
      </c>
      <c r="B1120" t="s">
        <v>2163</v>
      </c>
      <c r="C1120">
        <v>42.35</v>
      </c>
    </row>
    <row r="1121" spans="1:3">
      <c r="A1121">
        <v>3691</v>
      </c>
      <c r="B1121" t="s">
        <v>2164</v>
      </c>
      <c r="C1121">
        <v>628</v>
      </c>
    </row>
    <row r="1122" spans="1:3">
      <c r="A1122">
        <v>3693</v>
      </c>
      <c r="B1122" t="s">
        <v>403</v>
      </c>
      <c r="C1122">
        <v>95.1</v>
      </c>
    </row>
    <row r="1123" spans="1:3">
      <c r="A1123">
        <v>3707</v>
      </c>
      <c r="B1123" t="s">
        <v>404</v>
      </c>
      <c r="C1123">
        <v>9.4</v>
      </c>
    </row>
    <row r="1124" spans="1:3">
      <c r="A1124">
        <v>4102</v>
      </c>
      <c r="B1124" t="s">
        <v>2165</v>
      </c>
      <c r="C1124">
        <v>20.85</v>
      </c>
    </row>
    <row r="1125" spans="1:3">
      <c r="A1125">
        <v>4103</v>
      </c>
      <c r="B1125" t="s">
        <v>2166</v>
      </c>
      <c r="C1125">
        <v>86</v>
      </c>
    </row>
    <row r="1126" spans="1:3">
      <c r="A1126">
        <v>4105</v>
      </c>
      <c r="B1126" t="s">
        <v>2167</v>
      </c>
      <c r="C1126">
        <v>91.6</v>
      </c>
    </row>
    <row r="1127" spans="1:3">
      <c r="A1127">
        <v>4107</v>
      </c>
      <c r="B1127" t="s">
        <v>2168</v>
      </c>
      <c r="C1127">
        <v>121.5</v>
      </c>
    </row>
    <row r="1128" spans="1:3">
      <c r="A1128">
        <v>4109</v>
      </c>
      <c r="B1128" t="s">
        <v>2169</v>
      </c>
      <c r="C1128">
        <v>25.1</v>
      </c>
    </row>
    <row r="1129" spans="1:3">
      <c r="A1129">
        <v>4111</v>
      </c>
      <c r="B1129" t="s">
        <v>2170</v>
      </c>
      <c r="C1129">
        <v>22.65</v>
      </c>
    </row>
    <row r="1130" spans="1:3">
      <c r="A1130">
        <v>4113</v>
      </c>
      <c r="B1130" t="s">
        <v>405</v>
      </c>
      <c r="C1130">
        <v>11.1</v>
      </c>
    </row>
    <row r="1131" spans="1:3">
      <c r="A1131">
        <v>4114</v>
      </c>
      <c r="B1131" t="s">
        <v>2171</v>
      </c>
      <c r="C1131">
        <v>33.9</v>
      </c>
    </row>
    <row r="1132" spans="1:3">
      <c r="A1132">
        <v>4120</v>
      </c>
      <c r="B1132" t="s">
        <v>406</v>
      </c>
      <c r="C1132">
        <v>53.3</v>
      </c>
    </row>
    <row r="1133" spans="1:3">
      <c r="A1133">
        <v>4121</v>
      </c>
      <c r="B1133" t="s">
        <v>2172</v>
      </c>
      <c r="C1133">
        <v>11.2</v>
      </c>
    </row>
    <row r="1134" spans="1:3">
      <c r="A1134">
        <v>4123</v>
      </c>
      <c r="B1134" t="s">
        <v>2173</v>
      </c>
      <c r="C1134">
        <v>68.2</v>
      </c>
    </row>
    <row r="1135" spans="1:3">
      <c r="A1135">
        <v>4126</v>
      </c>
      <c r="B1135" t="s">
        <v>407</v>
      </c>
      <c r="C1135">
        <v>65</v>
      </c>
    </row>
    <row r="1136" spans="1:3">
      <c r="A1136">
        <v>4127</v>
      </c>
      <c r="B1136" t="s">
        <v>2174</v>
      </c>
      <c r="C1136">
        <v>24</v>
      </c>
    </row>
    <row r="1137" spans="1:3">
      <c r="A1137">
        <v>4128</v>
      </c>
      <c r="B1137" t="s">
        <v>2175</v>
      </c>
      <c r="C1137">
        <v>26.9</v>
      </c>
    </row>
    <row r="1138" spans="1:3">
      <c r="A1138">
        <v>4129</v>
      </c>
      <c r="B1138" t="s">
        <v>2176</v>
      </c>
      <c r="C1138">
        <v>62.5</v>
      </c>
    </row>
    <row r="1139" spans="1:3">
      <c r="A1139">
        <v>4130</v>
      </c>
      <c r="B1139" t="s">
        <v>408</v>
      </c>
      <c r="C1139">
        <v>42.2</v>
      </c>
    </row>
    <row r="1140" spans="1:3">
      <c r="A1140">
        <v>4131</v>
      </c>
      <c r="B1140" t="s">
        <v>2177</v>
      </c>
      <c r="C1140">
        <v>8.19</v>
      </c>
    </row>
    <row r="1141" spans="1:3">
      <c r="A1141">
        <v>4138</v>
      </c>
      <c r="B1141" t="s">
        <v>2178</v>
      </c>
      <c r="C1141">
        <v>60.7</v>
      </c>
    </row>
    <row r="1142" spans="1:3">
      <c r="A1142">
        <v>4139</v>
      </c>
      <c r="B1142" t="s">
        <v>2179</v>
      </c>
      <c r="C1142">
        <v>75.5</v>
      </c>
    </row>
    <row r="1143" spans="1:3">
      <c r="A1143">
        <v>4152</v>
      </c>
      <c r="B1143" t="s">
        <v>409</v>
      </c>
      <c r="C1143">
        <v>138.5</v>
      </c>
    </row>
    <row r="1144" spans="1:3">
      <c r="A1144">
        <v>4153</v>
      </c>
      <c r="B1144" t="s">
        <v>410</v>
      </c>
      <c r="C1144">
        <v>85.5</v>
      </c>
    </row>
    <row r="1145" spans="1:3">
      <c r="A1145">
        <v>4154</v>
      </c>
      <c r="B1145" t="s">
        <v>2180</v>
      </c>
      <c r="C1145">
        <v>25</v>
      </c>
    </row>
    <row r="1146" spans="1:3">
      <c r="A1146">
        <v>4157</v>
      </c>
      <c r="B1146" t="s">
        <v>2181</v>
      </c>
      <c r="C1146">
        <v>27.85</v>
      </c>
    </row>
    <row r="1147" spans="1:3">
      <c r="A1147">
        <v>4160</v>
      </c>
      <c r="B1147" t="s">
        <v>2182</v>
      </c>
      <c r="C1147">
        <v>28.7</v>
      </c>
    </row>
    <row r="1148" spans="1:3">
      <c r="A1148">
        <v>4161</v>
      </c>
      <c r="B1148" t="s">
        <v>2183</v>
      </c>
      <c r="C1148">
        <v>66.599999999999994</v>
      </c>
    </row>
    <row r="1149" spans="1:3">
      <c r="A1149">
        <v>4162</v>
      </c>
      <c r="B1149" t="s">
        <v>411</v>
      </c>
      <c r="C1149">
        <v>218.5</v>
      </c>
    </row>
    <row r="1150" spans="1:3">
      <c r="A1150">
        <v>4163</v>
      </c>
      <c r="B1150" t="s">
        <v>2184</v>
      </c>
      <c r="C1150">
        <v>102.5</v>
      </c>
    </row>
    <row r="1151" spans="1:3">
      <c r="A1151">
        <v>4167</v>
      </c>
      <c r="B1151" t="s">
        <v>412</v>
      </c>
      <c r="C1151">
        <v>34.75</v>
      </c>
    </row>
    <row r="1152" spans="1:3">
      <c r="A1152">
        <v>4168</v>
      </c>
      <c r="B1152" t="s">
        <v>413</v>
      </c>
      <c r="C1152">
        <v>52</v>
      </c>
    </row>
    <row r="1153" spans="1:3">
      <c r="A1153">
        <v>4171</v>
      </c>
      <c r="B1153" t="s">
        <v>2185</v>
      </c>
      <c r="C1153">
        <v>42.5</v>
      </c>
    </row>
    <row r="1154" spans="1:3">
      <c r="A1154">
        <v>4173</v>
      </c>
      <c r="B1154" t="s">
        <v>414</v>
      </c>
      <c r="C1154">
        <v>27.8</v>
      </c>
    </row>
    <row r="1155" spans="1:3">
      <c r="A1155">
        <v>4174</v>
      </c>
      <c r="B1155" t="s">
        <v>415</v>
      </c>
      <c r="C1155">
        <v>406.5</v>
      </c>
    </row>
    <row r="1156" spans="1:3">
      <c r="A1156">
        <v>4175</v>
      </c>
      <c r="B1156" t="s">
        <v>416</v>
      </c>
      <c r="C1156">
        <v>73</v>
      </c>
    </row>
    <row r="1157" spans="1:3">
      <c r="A1157">
        <v>4180</v>
      </c>
      <c r="B1157" t="s">
        <v>2186</v>
      </c>
      <c r="C1157">
        <v>177</v>
      </c>
    </row>
    <row r="1158" spans="1:3">
      <c r="A1158">
        <v>4188</v>
      </c>
      <c r="B1158" t="s">
        <v>2187</v>
      </c>
      <c r="C1158">
        <v>29</v>
      </c>
    </row>
    <row r="1159" spans="1:3">
      <c r="A1159">
        <v>4192</v>
      </c>
      <c r="B1159" t="s">
        <v>2188</v>
      </c>
      <c r="C1159">
        <v>48</v>
      </c>
    </row>
    <row r="1160" spans="1:3">
      <c r="A1160">
        <v>4198</v>
      </c>
      <c r="B1160" t="s">
        <v>417</v>
      </c>
      <c r="C1160">
        <v>39</v>
      </c>
    </row>
    <row r="1161" spans="1:3">
      <c r="A1161">
        <v>4205</v>
      </c>
      <c r="B1161" t="s">
        <v>2189</v>
      </c>
      <c r="C1161">
        <v>37</v>
      </c>
    </row>
    <row r="1162" spans="1:3">
      <c r="A1162">
        <v>4207</v>
      </c>
      <c r="B1162" t="s">
        <v>2190</v>
      </c>
      <c r="C1162">
        <v>10.050000000000001</v>
      </c>
    </row>
    <row r="1163" spans="1:3">
      <c r="A1163">
        <v>4303</v>
      </c>
      <c r="B1163" t="s">
        <v>2191</v>
      </c>
      <c r="C1163">
        <v>0</v>
      </c>
    </row>
    <row r="1164" spans="1:3">
      <c r="A1164">
        <v>4304</v>
      </c>
      <c r="B1164" t="s">
        <v>418</v>
      </c>
      <c r="C1164">
        <v>0</v>
      </c>
    </row>
    <row r="1165" spans="1:3">
      <c r="A1165">
        <v>4305</v>
      </c>
      <c r="B1165" t="s">
        <v>2192</v>
      </c>
      <c r="C1165">
        <v>25.45</v>
      </c>
    </row>
    <row r="1166" spans="1:3">
      <c r="A1166">
        <v>4401</v>
      </c>
      <c r="B1166" t="s">
        <v>2193</v>
      </c>
      <c r="C1166">
        <v>104</v>
      </c>
    </row>
    <row r="1167" spans="1:3">
      <c r="A1167">
        <v>4402</v>
      </c>
      <c r="B1167" t="s">
        <v>419</v>
      </c>
      <c r="C1167">
        <v>4.67</v>
      </c>
    </row>
    <row r="1168" spans="1:3">
      <c r="A1168">
        <v>4406</v>
      </c>
      <c r="B1168" t="s">
        <v>2194</v>
      </c>
      <c r="C1168">
        <v>12.75</v>
      </c>
    </row>
    <row r="1169" spans="1:3">
      <c r="A1169">
        <v>4413</v>
      </c>
      <c r="B1169" t="s">
        <v>2195</v>
      </c>
      <c r="C1169">
        <v>20</v>
      </c>
    </row>
    <row r="1170" spans="1:3">
      <c r="A1170">
        <v>4415</v>
      </c>
      <c r="B1170" t="s">
        <v>2196</v>
      </c>
      <c r="C1170">
        <v>20</v>
      </c>
    </row>
    <row r="1171" spans="1:3">
      <c r="A1171">
        <v>4416</v>
      </c>
      <c r="B1171" t="s">
        <v>420</v>
      </c>
      <c r="C1171">
        <v>0</v>
      </c>
    </row>
    <row r="1172" spans="1:3">
      <c r="A1172">
        <v>4417</v>
      </c>
      <c r="B1172" t="s">
        <v>2197</v>
      </c>
      <c r="C1172">
        <v>41.85</v>
      </c>
    </row>
    <row r="1173" spans="1:3">
      <c r="A1173">
        <v>4419</v>
      </c>
      <c r="B1173" t="s">
        <v>2198</v>
      </c>
      <c r="C1173">
        <v>7.63</v>
      </c>
    </row>
    <row r="1174" spans="1:3">
      <c r="A1174">
        <v>4420</v>
      </c>
      <c r="B1174" t="s">
        <v>2199</v>
      </c>
      <c r="C1174">
        <v>64</v>
      </c>
    </row>
    <row r="1175" spans="1:3">
      <c r="A1175">
        <v>4429</v>
      </c>
      <c r="B1175" t="s">
        <v>421</v>
      </c>
      <c r="C1175">
        <v>22.5</v>
      </c>
    </row>
    <row r="1176" spans="1:3">
      <c r="A1176">
        <v>4430</v>
      </c>
      <c r="B1176" t="s">
        <v>2200</v>
      </c>
      <c r="C1176">
        <v>30.65</v>
      </c>
    </row>
    <row r="1177" spans="1:3">
      <c r="A1177">
        <v>4432</v>
      </c>
      <c r="B1177" t="s">
        <v>2201</v>
      </c>
      <c r="C1177">
        <v>83.4</v>
      </c>
    </row>
    <row r="1178" spans="1:3">
      <c r="A1178">
        <v>4433</v>
      </c>
      <c r="B1178" t="s">
        <v>2202</v>
      </c>
      <c r="C1178">
        <v>40</v>
      </c>
    </row>
    <row r="1179" spans="1:3">
      <c r="A1179">
        <v>4502</v>
      </c>
      <c r="B1179" t="s">
        <v>2203</v>
      </c>
      <c r="C1179">
        <v>7.9</v>
      </c>
    </row>
    <row r="1180" spans="1:3">
      <c r="A1180">
        <v>4503</v>
      </c>
      <c r="B1180" t="s">
        <v>422</v>
      </c>
      <c r="C1180">
        <v>12.75</v>
      </c>
    </row>
    <row r="1181" spans="1:3">
      <c r="A1181">
        <v>4506</v>
      </c>
      <c r="B1181" t="s">
        <v>423</v>
      </c>
      <c r="C1181">
        <v>32.950000000000003</v>
      </c>
    </row>
    <row r="1182" spans="1:3">
      <c r="A1182">
        <v>4510</v>
      </c>
      <c r="B1182" t="s">
        <v>2204</v>
      </c>
      <c r="C1182">
        <v>16.45</v>
      </c>
    </row>
    <row r="1183" spans="1:3">
      <c r="A1183">
        <v>4513</v>
      </c>
      <c r="B1183" t="s">
        <v>2205</v>
      </c>
      <c r="C1183">
        <v>10.8</v>
      </c>
    </row>
    <row r="1184" spans="1:3">
      <c r="A1184">
        <v>4523</v>
      </c>
      <c r="B1184" t="s">
        <v>2206</v>
      </c>
      <c r="C1184">
        <v>21.4</v>
      </c>
    </row>
    <row r="1185" spans="1:3">
      <c r="A1185">
        <v>4527</v>
      </c>
      <c r="B1185" t="s">
        <v>2207</v>
      </c>
      <c r="C1185">
        <v>21.5</v>
      </c>
    </row>
    <row r="1186" spans="1:3">
      <c r="A1186">
        <v>4528</v>
      </c>
      <c r="B1186" t="s">
        <v>2208</v>
      </c>
      <c r="C1186">
        <v>65.599999999999994</v>
      </c>
    </row>
    <row r="1187" spans="1:3">
      <c r="A1187">
        <v>4529</v>
      </c>
      <c r="B1187" t="s">
        <v>2209</v>
      </c>
      <c r="C1187">
        <v>46</v>
      </c>
    </row>
    <row r="1188" spans="1:3">
      <c r="A1188">
        <v>4530</v>
      </c>
      <c r="B1188" t="s">
        <v>2210</v>
      </c>
      <c r="C1188">
        <v>0</v>
      </c>
    </row>
    <row r="1189" spans="1:3">
      <c r="A1189">
        <v>4533</v>
      </c>
      <c r="B1189" t="s">
        <v>2211</v>
      </c>
      <c r="C1189">
        <v>11.7</v>
      </c>
    </row>
    <row r="1190" spans="1:3">
      <c r="A1190">
        <v>4534</v>
      </c>
      <c r="B1190" t="s">
        <v>2212</v>
      </c>
      <c r="C1190">
        <v>10.9</v>
      </c>
    </row>
    <row r="1191" spans="1:3">
      <c r="A1191">
        <v>4535</v>
      </c>
      <c r="B1191" t="s">
        <v>2213</v>
      </c>
      <c r="C1191">
        <v>44.75</v>
      </c>
    </row>
    <row r="1192" spans="1:3">
      <c r="A1192">
        <v>4541</v>
      </c>
      <c r="B1192" t="s">
        <v>2214</v>
      </c>
      <c r="C1192">
        <v>32.4</v>
      </c>
    </row>
    <row r="1193" spans="1:3">
      <c r="A1193">
        <v>4542</v>
      </c>
      <c r="B1193" t="s">
        <v>424</v>
      </c>
      <c r="C1193">
        <v>23</v>
      </c>
    </row>
    <row r="1194" spans="1:3">
      <c r="A1194">
        <v>4549</v>
      </c>
      <c r="B1194" t="s">
        <v>425</v>
      </c>
      <c r="C1194">
        <v>83</v>
      </c>
    </row>
    <row r="1195" spans="1:3">
      <c r="A1195">
        <v>4550</v>
      </c>
      <c r="B1195" t="s">
        <v>426</v>
      </c>
      <c r="C1195">
        <v>22.7</v>
      </c>
    </row>
    <row r="1196" spans="1:3">
      <c r="A1196">
        <v>4609</v>
      </c>
      <c r="B1196" t="s">
        <v>2215</v>
      </c>
      <c r="C1196">
        <v>9.2100000000000009</v>
      </c>
    </row>
    <row r="1197" spans="1:3">
      <c r="A1197">
        <v>4702</v>
      </c>
      <c r="B1197" t="s">
        <v>427</v>
      </c>
      <c r="C1197">
        <v>12.4</v>
      </c>
    </row>
    <row r="1198" spans="1:3">
      <c r="A1198">
        <v>4706</v>
      </c>
      <c r="B1198" t="s">
        <v>2216</v>
      </c>
      <c r="C1198">
        <v>15</v>
      </c>
    </row>
    <row r="1199" spans="1:3">
      <c r="A1199">
        <v>4707</v>
      </c>
      <c r="B1199" t="s">
        <v>428</v>
      </c>
      <c r="C1199">
        <v>8.65</v>
      </c>
    </row>
    <row r="1200" spans="1:3">
      <c r="A1200">
        <v>4711</v>
      </c>
      <c r="B1200" t="s">
        <v>2217</v>
      </c>
      <c r="C1200">
        <v>11.85</v>
      </c>
    </row>
    <row r="1201" spans="1:3">
      <c r="A1201">
        <v>4712</v>
      </c>
      <c r="B1201" t="s">
        <v>429</v>
      </c>
      <c r="C1201">
        <v>8.07</v>
      </c>
    </row>
    <row r="1202" spans="1:3">
      <c r="A1202">
        <v>4714</v>
      </c>
      <c r="B1202" t="s">
        <v>430</v>
      </c>
      <c r="C1202">
        <v>9.36</v>
      </c>
    </row>
    <row r="1203" spans="1:3">
      <c r="A1203">
        <v>4716</v>
      </c>
      <c r="B1203" t="s">
        <v>2218</v>
      </c>
      <c r="C1203">
        <v>11.25</v>
      </c>
    </row>
    <row r="1204" spans="1:3">
      <c r="A1204">
        <v>4721</v>
      </c>
      <c r="B1204" t="s">
        <v>431</v>
      </c>
      <c r="C1204">
        <v>19.850000000000001</v>
      </c>
    </row>
    <row r="1205" spans="1:3">
      <c r="A1205">
        <v>4726</v>
      </c>
      <c r="B1205" t="s">
        <v>2219</v>
      </c>
      <c r="C1205">
        <v>38</v>
      </c>
    </row>
    <row r="1206" spans="1:3">
      <c r="A1206">
        <v>4728</v>
      </c>
      <c r="B1206" t="s">
        <v>432</v>
      </c>
      <c r="C1206">
        <v>28.1</v>
      </c>
    </row>
    <row r="1207" spans="1:3">
      <c r="A1207">
        <v>4729</v>
      </c>
      <c r="B1207" t="s">
        <v>433</v>
      </c>
      <c r="C1207">
        <v>13.95</v>
      </c>
    </row>
    <row r="1208" spans="1:3">
      <c r="A1208">
        <v>4735</v>
      </c>
      <c r="B1208" t="s">
        <v>2220</v>
      </c>
      <c r="C1208">
        <v>23.1</v>
      </c>
    </row>
    <row r="1209" spans="1:3">
      <c r="A1209">
        <v>4736</v>
      </c>
      <c r="B1209" t="s">
        <v>434</v>
      </c>
      <c r="C1209">
        <v>92.4</v>
      </c>
    </row>
    <row r="1210" spans="1:3">
      <c r="A1210">
        <v>4739</v>
      </c>
      <c r="B1210" t="s">
        <v>2221</v>
      </c>
      <c r="C1210">
        <v>44.6</v>
      </c>
    </row>
    <row r="1211" spans="1:3">
      <c r="A1211">
        <v>4743</v>
      </c>
      <c r="B1211" t="s">
        <v>2222</v>
      </c>
      <c r="C1211">
        <v>35.85</v>
      </c>
    </row>
    <row r="1212" spans="1:3">
      <c r="A1212">
        <v>4745</v>
      </c>
      <c r="B1212" t="s">
        <v>2223</v>
      </c>
      <c r="C1212">
        <v>73.3</v>
      </c>
    </row>
    <row r="1213" spans="1:3">
      <c r="A1213">
        <v>4747</v>
      </c>
      <c r="B1213" t="s">
        <v>2224</v>
      </c>
      <c r="C1213">
        <v>41.6</v>
      </c>
    </row>
    <row r="1214" spans="1:3">
      <c r="A1214">
        <v>4903</v>
      </c>
      <c r="B1214" t="s">
        <v>2225</v>
      </c>
      <c r="C1214">
        <v>10.050000000000001</v>
      </c>
    </row>
    <row r="1215" spans="1:3">
      <c r="A1215">
        <v>4905</v>
      </c>
      <c r="B1215" t="s">
        <v>2226</v>
      </c>
      <c r="C1215">
        <v>41.2</v>
      </c>
    </row>
    <row r="1216" spans="1:3">
      <c r="A1216">
        <v>4907</v>
      </c>
      <c r="B1216" t="s">
        <v>2227</v>
      </c>
      <c r="C1216">
        <v>11.75</v>
      </c>
    </row>
    <row r="1217" spans="1:3">
      <c r="A1217">
        <v>4908</v>
      </c>
      <c r="B1217" t="s">
        <v>2228</v>
      </c>
      <c r="C1217">
        <v>18.5</v>
      </c>
    </row>
    <row r="1218" spans="1:3">
      <c r="A1218">
        <v>4909</v>
      </c>
      <c r="B1218" t="s">
        <v>435</v>
      </c>
      <c r="C1218">
        <v>21.4</v>
      </c>
    </row>
    <row r="1219" spans="1:3">
      <c r="A1219">
        <v>4911</v>
      </c>
      <c r="B1219" t="s">
        <v>436</v>
      </c>
      <c r="C1219">
        <v>86</v>
      </c>
    </row>
    <row r="1220" spans="1:3">
      <c r="A1220">
        <v>4924</v>
      </c>
      <c r="B1220" t="s">
        <v>2229</v>
      </c>
      <c r="C1220">
        <v>6.3</v>
      </c>
    </row>
    <row r="1221" spans="1:3">
      <c r="A1221">
        <v>4933</v>
      </c>
      <c r="B1221" t="s">
        <v>437</v>
      </c>
      <c r="C1221">
        <v>25.7</v>
      </c>
    </row>
    <row r="1222" spans="1:3">
      <c r="A1222">
        <v>4939</v>
      </c>
      <c r="B1222" t="s">
        <v>438</v>
      </c>
      <c r="C1222">
        <v>9.5</v>
      </c>
    </row>
    <row r="1223" spans="1:3">
      <c r="A1223">
        <v>4944</v>
      </c>
      <c r="B1223" t="s">
        <v>2230</v>
      </c>
      <c r="C1223">
        <v>13.45</v>
      </c>
    </row>
    <row r="1224" spans="1:3">
      <c r="A1224">
        <v>4946</v>
      </c>
      <c r="B1224" t="s">
        <v>2231</v>
      </c>
      <c r="C1224">
        <v>48.1</v>
      </c>
    </row>
    <row r="1225" spans="1:3">
      <c r="A1225">
        <v>4947</v>
      </c>
      <c r="B1225" t="s">
        <v>2232</v>
      </c>
      <c r="C1225">
        <v>164</v>
      </c>
    </row>
    <row r="1226" spans="1:3">
      <c r="A1226">
        <v>4950</v>
      </c>
      <c r="B1226" t="s">
        <v>439</v>
      </c>
      <c r="C1226">
        <v>19.55</v>
      </c>
    </row>
    <row r="1227" spans="1:3">
      <c r="A1227">
        <v>4953</v>
      </c>
      <c r="B1227" t="s">
        <v>2233</v>
      </c>
      <c r="C1227">
        <v>24.9</v>
      </c>
    </row>
    <row r="1228" spans="1:3">
      <c r="A1228">
        <v>4965</v>
      </c>
      <c r="B1228" t="s">
        <v>440</v>
      </c>
      <c r="C1228">
        <v>143.5</v>
      </c>
    </row>
    <row r="1229" spans="1:3">
      <c r="A1229">
        <v>4966</v>
      </c>
      <c r="B1229" t="s">
        <v>2234</v>
      </c>
      <c r="C1229">
        <v>256</v>
      </c>
    </row>
    <row r="1230" spans="1:3">
      <c r="A1230">
        <v>4971</v>
      </c>
      <c r="B1230" t="s">
        <v>2235</v>
      </c>
      <c r="C1230">
        <v>107.5</v>
      </c>
    </row>
    <row r="1231" spans="1:3">
      <c r="A1231">
        <v>4972</v>
      </c>
      <c r="B1231" t="s">
        <v>2236</v>
      </c>
      <c r="C1231">
        <v>39.200000000000003</v>
      </c>
    </row>
    <row r="1232" spans="1:3">
      <c r="A1232">
        <v>4973</v>
      </c>
      <c r="B1232" t="s">
        <v>2237</v>
      </c>
      <c r="C1232">
        <v>17.2</v>
      </c>
    </row>
    <row r="1233" spans="1:3">
      <c r="A1233">
        <v>4974</v>
      </c>
      <c r="B1233" t="s">
        <v>441</v>
      </c>
      <c r="C1233">
        <v>38.9</v>
      </c>
    </row>
    <row r="1234" spans="1:3">
      <c r="A1234">
        <v>4979</v>
      </c>
      <c r="B1234" t="s">
        <v>442</v>
      </c>
      <c r="C1234">
        <v>87</v>
      </c>
    </row>
    <row r="1235" spans="1:3">
      <c r="A1235">
        <v>4987</v>
      </c>
      <c r="B1235" t="s">
        <v>2238</v>
      </c>
      <c r="C1235">
        <v>67.2</v>
      </c>
    </row>
    <row r="1236" spans="1:3">
      <c r="A1236">
        <v>4991</v>
      </c>
      <c r="B1236" t="s">
        <v>2239</v>
      </c>
      <c r="C1236">
        <v>72.900000000000006</v>
      </c>
    </row>
    <row r="1237" spans="1:3">
      <c r="A1237">
        <v>4995</v>
      </c>
      <c r="B1237" t="s">
        <v>2240</v>
      </c>
      <c r="C1237">
        <v>40.5</v>
      </c>
    </row>
    <row r="1238" spans="1:3">
      <c r="A1238">
        <v>5009</v>
      </c>
      <c r="B1238" t="s">
        <v>443</v>
      </c>
      <c r="C1238">
        <v>17.649999999999999</v>
      </c>
    </row>
    <row r="1239" spans="1:3">
      <c r="A1239">
        <v>5011</v>
      </c>
      <c r="B1239" t="s">
        <v>444</v>
      </c>
      <c r="C1239">
        <v>0</v>
      </c>
    </row>
    <row r="1240" spans="1:3">
      <c r="A1240">
        <v>5013</v>
      </c>
      <c r="B1240" t="s">
        <v>2241</v>
      </c>
      <c r="C1240">
        <v>15.55</v>
      </c>
    </row>
    <row r="1241" spans="1:3">
      <c r="A1241">
        <v>5014</v>
      </c>
      <c r="B1241" t="s">
        <v>2242</v>
      </c>
      <c r="C1241">
        <v>8.5399999999999991</v>
      </c>
    </row>
    <row r="1242" spans="1:3">
      <c r="A1242">
        <v>5015</v>
      </c>
      <c r="B1242" t="s">
        <v>445</v>
      </c>
      <c r="C1242">
        <v>15.95</v>
      </c>
    </row>
    <row r="1243" spans="1:3">
      <c r="A1243">
        <v>5016</v>
      </c>
      <c r="B1243" t="s">
        <v>2243</v>
      </c>
      <c r="C1243">
        <v>23.9</v>
      </c>
    </row>
    <row r="1244" spans="1:3">
      <c r="A1244">
        <v>5102</v>
      </c>
      <c r="B1244" t="s">
        <v>446</v>
      </c>
      <c r="C1244">
        <v>14.35</v>
      </c>
    </row>
    <row r="1245" spans="1:3">
      <c r="A1245">
        <v>5201</v>
      </c>
      <c r="B1245" t="s">
        <v>2244</v>
      </c>
      <c r="C1245">
        <v>12.2</v>
      </c>
    </row>
    <row r="1246" spans="1:3">
      <c r="A1246">
        <v>5202</v>
      </c>
      <c r="B1246" t="s">
        <v>2245</v>
      </c>
      <c r="C1246">
        <v>14.3</v>
      </c>
    </row>
    <row r="1247" spans="1:3">
      <c r="A1247">
        <v>5205</v>
      </c>
      <c r="B1247" t="s">
        <v>2246</v>
      </c>
      <c r="C1247">
        <v>0</v>
      </c>
    </row>
    <row r="1248" spans="1:3">
      <c r="A1248">
        <v>5206</v>
      </c>
      <c r="B1248" t="s">
        <v>447</v>
      </c>
      <c r="C1248">
        <v>12</v>
      </c>
    </row>
    <row r="1249" spans="1:3">
      <c r="A1249">
        <v>5209</v>
      </c>
      <c r="B1249" t="s">
        <v>2247</v>
      </c>
      <c r="C1249">
        <v>44.45</v>
      </c>
    </row>
    <row r="1250" spans="1:3">
      <c r="A1250">
        <v>5210</v>
      </c>
      <c r="B1250" t="s">
        <v>448</v>
      </c>
      <c r="C1250">
        <v>7.3</v>
      </c>
    </row>
    <row r="1251" spans="1:3">
      <c r="A1251">
        <v>5211</v>
      </c>
      <c r="B1251" t="s">
        <v>449</v>
      </c>
      <c r="C1251">
        <v>24.45</v>
      </c>
    </row>
    <row r="1252" spans="1:3">
      <c r="A1252">
        <v>5212</v>
      </c>
      <c r="B1252" t="s">
        <v>2248</v>
      </c>
      <c r="C1252">
        <v>18.3</v>
      </c>
    </row>
    <row r="1253" spans="1:3">
      <c r="A1253">
        <v>5213</v>
      </c>
      <c r="B1253" t="s">
        <v>2249</v>
      </c>
      <c r="C1253">
        <v>15.55</v>
      </c>
    </row>
    <row r="1254" spans="1:3">
      <c r="A1254">
        <v>5227</v>
      </c>
      <c r="B1254" t="s">
        <v>2250</v>
      </c>
      <c r="C1254">
        <v>33</v>
      </c>
    </row>
    <row r="1255" spans="1:3">
      <c r="A1255">
        <v>5230</v>
      </c>
      <c r="B1255" t="s">
        <v>450</v>
      </c>
      <c r="C1255">
        <v>54.6</v>
      </c>
    </row>
    <row r="1256" spans="1:3">
      <c r="A1256">
        <v>5245</v>
      </c>
      <c r="B1256" t="s">
        <v>451</v>
      </c>
      <c r="C1256">
        <v>82.3</v>
      </c>
    </row>
    <row r="1257" spans="1:3">
      <c r="A1257">
        <v>5251</v>
      </c>
      <c r="B1257" t="s">
        <v>452</v>
      </c>
      <c r="C1257">
        <v>35.049999999999997</v>
      </c>
    </row>
    <row r="1258" spans="1:3">
      <c r="A1258">
        <v>5255</v>
      </c>
      <c r="B1258" t="s">
        <v>453</v>
      </c>
      <c r="C1258">
        <v>19.3</v>
      </c>
    </row>
    <row r="1259" spans="1:3">
      <c r="A1259">
        <v>5263</v>
      </c>
      <c r="B1259" t="s">
        <v>2251</v>
      </c>
      <c r="C1259">
        <v>286</v>
      </c>
    </row>
    <row r="1260" spans="1:3">
      <c r="A1260">
        <v>5266</v>
      </c>
      <c r="B1260" t="s">
        <v>2252</v>
      </c>
      <c r="C1260">
        <v>54.6</v>
      </c>
    </row>
    <row r="1261" spans="1:3">
      <c r="A1261">
        <v>5272</v>
      </c>
      <c r="B1261" t="s">
        <v>454</v>
      </c>
      <c r="C1261">
        <v>46.25</v>
      </c>
    </row>
    <row r="1262" spans="1:3">
      <c r="A1262">
        <v>5274</v>
      </c>
      <c r="B1262" t="s">
        <v>2253</v>
      </c>
      <c r="C1262">
        <v>331.5</v>
      </c>
    </row>
    <row r="1263" spans="1:3">
      <c r="A1263">
        <v>5276</v>
      </c>
      <c r="B1263" t="s">
        <v>2254</v>
      </c>
      <c r="C1263">
        <v>20.5</v>
      </c>
    </row>
    <row r="1264" spans="1:3">
      <c r="A1264">
        <v>5278</v>
      </c>
      <c r="B1264" t="s">
        <v>455</v>
      </c>
      <c r="C1264">
        <v>30.35</v>
      </c>
    </row>
    <row r="1265" spans="1:3">
      <c r="A1265">
        <v>5284</v>
      </c>
      <c r="B1265" t="s">
        <v>2255</v>
      </c>
      <c r="C1265">
        <v>65.3</v>
      </c>
    </row>
    <row r="1266" spans="1:3">
      <c r="A1266">
        <v>5287</v>
      </c>
      <c r="B1266" t="s">
        <v>456</v>
      </c>
      <c r="C1266">
        <v>312.5</v>
      </c>
    </row>
    <row r="1267" spans="1:3">
      <c r="A1267">
        <v>5289</v>
      </c>
      <c r="B1267" t="s">
        <v>2256</v>
      </c>
      <c r="C1267">
        <v>92.8</v>
      </c>
    </row>
    <row r="1268" spans="1:3">
      <c r="A1268">
        <v>5291</v>
      </c>
      <c r="B1268" t="s">
        <v>457</v>
      </c>
      <c r="C1268">
        <v>17.05</v>
      </c>
    </row>
    <row r="1269" spans="1:3">
      <c r="A1269">
        <v>5301</v>
      </c>
      <c r="B1269" t="s">
        <v>458</v>
      </c>
      <c r="C1269">
        <v>43</v>
      </c>
    </row>
    <row r="1270" spans="1:3">
      <c r="A1270">
        <v>5302</v>
      </c>
      <c r="B1270" t="s">
        <v>459</v>
      </c>
      <c r="C1270">
        <v>5.64</v>
      </c>
    </row>
    <row r="1271" spans="1:3">
      <c r="A1271">
        <v>5304</v>
      </c>
      <c r="B1271" t="s">
        <v>460</v>
      </c>
      <c r="C1271">
        <v>3.37</v>
      </c>
    </row>
    <row r="1272" spans="1:3">
      <c r="A1272">
        <v>5306</v>
      </c>
      <c r="B1272" t="s">
        <v>2257</v>
      </c>
      <c r="C1272">
        <v>129.5</v>
      </c>
    </row>
    <row r="1273" spans="1:3">
      <c r="A1273">
        <v>5309</v>
      </c>
      <c r="B1273" t="s">
        <v>2258</v>
      </c>
      <c r="C1273">
        <v>15.7</v>
      </c>
    </row>
    <row r="1274" spans="1:3">
      <c r="A1274">
        <v>5310</v>
      </c>
      <c r="B1274" t="s">
        <v>2259</v>
      </c>
      <c r="C1274">
        <v>26.15</v>
      </c>
    </row>
    <row r="1275" spans="1:3">
      <c r="A1275">
        <v>5312</v>
      </c>
      <c r="B1275" t="s">
        <v>461</v>
      </c>
      <c r="C1275">
        <v>76</v>
      </c>
    </row>
    <row r="1276" spans="1:3">
      <c r="A1276">
        <v>5314</v>
      </c>
      <c r="B1276" t="s">
        <v>2260</v>
      </c>
      <c r="C1276">
        <v>7.05</v>
      </c>
    </row>
    <row r="1277" spans="1:3">
      <c r="A1277">
        <v>5315</v>
      </c>
      <c r="B1277" t="s">
        <v>2261</v>
      </c>
      <c r="C1277">
        <v>23.95</v>
      </c>
    </row>
    <row r="1278" spans="1:3">
      <c r="A1278">
        <v>5317</v>
      </c>
      <c r="B1278" t="s">
        <v>462</v>
      </c>
      <c r="C1278">
        <v>14.1</v>
      </c>
    </row>
    <row r="1279" spans="1:3">
      <c r="A1279">
        <v>5321</v>
      </c>
      <c r="B1279" t="s">
        <v>2262</v>
      </c>
      <c r="C1279">
        <v>0</v>
      </c>
    </row>
    <row r="1280" spans="1:3">
      <c r="A1280">
        <v>5324</v>
      </c>
      <c r="B1280" t="s">
        <v>463</v>
      </c>
      <c r="C1280">
        <v>11.5</v>
      </c>
    </row>
    <row r="1281" spans="1:3">
      <c r="A1281">
        <v>5328</v>
      </c>
      <c r="B1281" t="s">
        <v>2263</v>
      </c>
      <c r="C1281">
        <v>4.8</v>
      </c>
    </row>
    <row r="1282" spans="1:3">
      <c r="A1282">
        <v>5340</v>
      </c>
      <c r="B1282" t="s">
        <v>2264</v>
      </c>
      <c r="C1282">
        <v>4.1100000000000003</v>
      </c>
    </row>
    <row r="1283" spans="1:3">
      <c r="A1283">
        <v>5344</v>
      </c>
      <c r="B1283" t="s">
        <v>2265</v>
      </c>
      <c r="C1283">
        <v>6.49</v>
      </c>
    </row>
    <row r="1284" spans="1:3">
      <c r="A1284">
        <v>5345</v>
      </c>
      <c r="B1284" t="s">
        <v>464</v>
      </c>
      <c r="C1284">
        <v>9.65</v>
      </c>
    </row>
    <row r="1285" spans="1:3">
      <c r="A1285">
        <v>5347</v>
      </c>
      <c r="B1285" t="s">
        <v>465</v>
      </c>
      <c r="C1285">
        <v>42.05</v>
      </c>
    </row>
    <row r="1286" spans="1:3">
      <c r="A1286">
        <v>5348</v>
      </c>
      <c r="B1286" t="s">
        <v>2266</v>
      </c>
      <c r="C1286">
        <v>0</v>
      </c>
    </row>
    <row r="1287" spans="1:3">
      <c r="A1287">
        <v>5349</v>
      </c>
      <c r="B1287" t="s">
        <v>2267</v>
      </c>
      <c r="C1287">
        <v>38.950000000000003</v>
      </c>
    </row>
    <row r="1288" spans="1:3">
      <c r="A1288">
        <v>5351</v>
      </c>
      <c r="B1288" t="s">
        <v>2268</v>
      </c>
      <c r="C1288">
        <v>14.35</v>
      </c>
    </row>
    <row r="1289" spans="1:3">
      <c r="A1289">
        <v>5353</v>
      </c>
      <c r="B1289" t="s">
        <v>2269</v>
      </c>
      <c r="C1289">
        <v>9.65</v>
      </c>
    </row>
    <row r="1290" spans="1:3">
      <c r="A1290">
        <v>5355</v>
      </c>
      <c r="B1290" t="s">
        <v>466</v>
      </c>
      <c r="C1290">
        <v>7.18</v>
      </c>
    </row>
    <row r="1291" spans="1:3">
      <c r="A1291">
        <v>5356</v>
      </c>
      <c r="B1291" t="s">
        <v>2270</v>
      </c>
      <c r="C1291">
        <v>41.9</v>
      </c>
    </row>
    <row r="1292" spans="1:3">
      <c r="A1292">
        <v>5364</v>
      </c>
      <c r="B1292" t="s">
        <v>467</v>
      </c>
      <c r="C1292">
        <v>43</v>
      </c>
    </row>
    <row r="1293" spans="1:3">
      <c r="A1293">
        <v>5371</v>
      </c>
      <c r="B1293" t="s">
        <v>468</v>
      </c>
      <c r="C1293">
        <v>31.2</v>
      </c>
    </row>
    <row r="1294" spans="1:3">
      <c r="A1294">
        <v>5381</v>
      </c>
      <c r="B1294" t="s">
        <v>2271</v>
      </c>
      <c r="C1294">
        <v>2.74</v>
      </c>
    </row>
    <row r="1295" spans="1:3">
      <c r="A1295">
        <v>5383</v>
      </c>
      <c r="B1295" t="s">
        <v>2272</v>
      </c>
      <c r="C1295">
        <v>9.1300000000000008</v>
      </c>
    </row>
    <row r="1296" spans="1:3">
      <c r="A1296">
        <v>5384</v>
      </c>
      <c r="B1296" t="s">
        <v>469</v>
      </c>
      <c r="C1296">
        <v>12.3</v>
      </c>
    </row>
    <row r="1297" spans="1:3">
      <c r="A1297">
        <v>5386</v>
      </c>
      <c r="B1297" t="s">
        <v>2273</v>
      </c>
      <c r="C1297">
        <v>26.5</v>
      </c>
    </row>
    <row r="1298" spans="1:3">
      <c r="A1298">
        <v>5392</v>
      </c>
      <c r="B1298" t="s">
        <v>2274</v>
      </c>
      <c r="C1298">
        <v>53.9</v>
      </c>
    </row>
    <row r="1299" spans="1:3">
      <c r="A1299">
        <v>5395</v>
      </c>
      <c r="B1299" t="s">
        <v>2275</v>
      </c>
      <c r="C1299">
        <v>30.6</v>
      </c>
    </row>
    <row r="1300" spans="1:3">
      <c r="A1300">
        <v>5398</v>
      </c>
      <c r="B1300" t="s">
        <v>470</v>
      </c>
      <c r="C1300">
        <v>19.850000000000001</v>
      </c>
    </row>
    <row r="1301" spans="1:3">
      <c r="A1301">
        <v>5403</v>
      </c>
      <c r="B1301" t="s">
        <v>2466</v>
      </c>
      <c r="C1301">
        <v>22.9</v>
      </c>
    </row>
    <row r="1302" spans="1:3">
      <c r="A1302">
        <v>5410</v>
      </c>
      <c r="B1302" t="s">
        <v>2276</v>
      </c>
      <c r="C1302">
        <v>11.9</v>
      </c>
    </row>
    <row r="1303" spans="1:3">
      <c r="A1303">
        <v>5425</v>
      </c>
      <c r="B1303" t="s">
        <v>471</v>
      </c>
      <c r="C1303">
        <v>25.75</v>
      </c>
    </row>
    <row r="1304" spans="1:3">
      <c r="A1304">
        <v>5426</v>
      </c>
      <c r="B1304" t="s">
        <v>472</v>
      </c>
      <c r="C1304">
        <v>11.5</v>
      </c>
    </row>
    <row r="1305" spans="1:3">
      <c r="A1305">
        <v>5432</v>
      </c>
      <c r="B1305" t="s">
        <v>2277</v>
      </c>
      <c r="C1305">
        <v>15.1</v>
      </c>
    </row>
    <row r="1306" spans="1:3">
      <c r="A1306">
        <v>5438</v>
      </c>
      <c r="B1306" t="s">
        <v>2278</v>
      </c>
      <c r="C1306">
        <v>12.15</v>
      </c>
    </row>
    <row r="1307" spans="1:3">
      <c r="A1307">
        <v>5439</v>
      </c>
      <c r="B1307" t="s">
        <v>473</v>
      </c>
      <c r="C1307">
        <v>17.899999999999999</v>
      </c>
    </row>
    <row r="1308" spans="1:3">
      <c r="A1308">
        <v>5443</v>
      </c>
      <c r="B1308" t="s">
        <v>2279</v>
      </c>
      <c r="C1308">
        <v>13.35</v>
      </c>
    </row>
    <row r="1309" spans="1:3">
      <c r="A1309">
        <v>5450</v>
      </c>
      <c r="B1309" t="s">
        <v>474</v>
      </c>
      <c r="C1309">
        <v>0</v>
      </c>
    </row>
    <row r="1310" spans="1:3">
      <c r="A1310">
        <v>5452</v>
      </c>
      <c r="B1310" t="s">
        <v>475</v>
      </c>
      <c r="C1310">
        <v>8.1300000000000008</v>
      </c>
    </row>
    <row r="1311" spans="1:3">
      <c r="A1311">
        <v>5455</v>
      </c>
      <c r="B1311" t="s">
        <v>476</v>
      </c>
      <c r="C1311">
        <v>7.09</v>
      </c>
    </row>
    <row r="1312" spans="1:3">
      <c r="A1312">
        <v>5457</v>
      </c>
      <c r="B1312" t="s">
        <v>477</v>
      </c>
      <c r="C1312">
        <v>29.1</v>
      </c>
    </row>
    <row r="1313" spans="1:3">
      <c r="A1313">
        <v>5460</v>
      </c>
      <c r="B1313" t="s">
        <v>2280</v>
      </c>
      <c r="C1313">
        <v>12.4</v>
      </c>
    </row>
    <row r="1314" spans="1:3">
      <c r="A1314">
        <v>5464</v>
      </c>
      <c r="B1314" t="s">
        <v>2281</v>
      </c>
      <c r="C1314">
        <v>17.100000000000001</v>
      </c>
    </row>
    <row r="1315" spans="1:3">
      <c r="A1315">
        <v>5465</v>
      </c>
      <c r="B1315" t="s">
        <v>478</v>
      </c>
      <c r="C1315">
        <v>10.15</v>
      </c>
    </row>
    <row r="1316" spans="1:3">
      <c r="A1316">
        <v>5468</v>
      </c>
      <c r="B1316" t="s">
        <v>479</v>
      </c>
      <c r="C1316">
        <v>7.52</v>
      </c>
    </row>
    <row r="1317" spans="1:3">
      <c r="A1317">
        <v>5474</v>
      </c>
      <c r="B1317" t="s">
        <v>2282</v>
      </c>
      <c r="C1317">
        <v>73</v>
      </c>
    </row>
    <row r="1318" spans="1:3">
      <c r="A1318">
        <v>5475</v>
      </c>
      <c r="B1318" t="s">
        <v>2283</v>
      </c>
      <c r="C1318">
        <v>4.4000000000000004</v>
      </c>
    </row>
    <row r="1319" spans="1:3">
      <c r="A1319">
        <v>5478</v>
      </c>
      <c r="B1319" t="s">
        <v>480</v>
      </c>
      <c r="C1319">
        <v>59.2</v>
      </c>
    </row>
    <row r="1320" spans="1:3">
      <c r="A1320">
        <v>5480</v>
      </c>
      <c r="B1320" t="s">
        <v>2284</v>
      </c>
      <c r="C1320">
        <v>12.6</v>
      </c>
    </row>
    <row r="1321" spans="1:3">
      <c r="A1321">
        <v>5481</v>
      </c>
      <c r="B1321" t="s">
        <v>2285</v>
      </c>
      <c r="C1321">
        <v>16.2</v>
      </c>
    </row>
    <row r="1322" spans="1:3">
      <c r="A1322">
        <v>5483</v>
      </c>
      <c r="B1322" t="s">
        <v>2286</v>
      </c>
      <c r="C1322">
        <v>40.75</v>
      </c>
    </row>
    <row r="1323" spans="1:3">
      <c r="A1323">
        <v>5487</v>
      </c>
      <c r="B1323" t="s">
        <v>481</v>
      </c>
      <c r="C1323">
        <v>20.05</v>
      </c>
    </row>
    <row r="1324" spans="1:3">
      <c r="A1324">
        <v>5488</v>
      </c>
      <c r="B1324" t="s">
        <v>2287</v>
      </c>
      <c r="C1324">
        <v>5.94</v>
      </c>
    </row>
    <row r="1325" spans="1:3">
      <c r="A1325">
        <v>5489</v>
      </c>
      <c r="B1325" t="s">
        <v>2288</v>
      </c>
      <c r="C1325">
        <v>51</v>
      </c>
    </row>
    <row r="1326" spans="1:3">
      <c r="A1326">
        <v>5490</v>
      </c>
      <c r="B1326" t="s">
        <v>482</v>
      </c>
      <c r="C1326">
        <v>66.900000000000006</v>
      </c>
    </row>
    <row r="1327" spans="1:3">
      <c r="A1327">
        <v>5491</v>
      </c>
      <c r="B1327" t="s">
        <v>2289</v>
      </c>
      <c r="C1327">
        <v>8.36</v>
      </c>
    </row>
    <row r="1328" spans="1:3">
      <c r="A1328">
        <v>5493</v>
      </c>
      <c r="B1328" t="s">
        <v>2290</v>
      </c>
      <c r="C1328">
        <v>33.1</v>
      </c>
    </row>
    <row r="1329" spans="1:3">
      <c r="A1329">
        <v>5498</v>
      </c>
      <c r="B1329" t="s">
        <v>2291</v>
      </c>
      <c r="C1329">
        <v>8.35</v>
      </c>
    </row>
    <row r="1330" spans="1:3">
      <c r="A1330">
        <v>5506</v>
      </c>
      <c r="B1330" t="s">
        <v>483</v>
      </c>
      <c r="C1330">
        <v>0.89</v>
      </c>
    </row>
    <row r="1331" spans="1:3">
      <c r="A1331">
        <v>5508</v>
      </c>
      <c r="B1331" t="s">
        <v>2292</v>
      </c>
      <c r="C1331">
        <v>30.2</v>
      </c>
    </row>
    <row r="1332" spans="1:3">
      <c r="A1332">
        <v>5511</v>
      </c>
      <c r="B1332" t="s">
        <v>2293</v>
      </c>
      <c r="C1332">
        <v>24.9</v>
      </c>
    </row>
    <row r="1333" spans="1:3">
      <c r="A1333">
        <v>5512</v>
      </c>
      <c r="B1333" t="s">
        <v>484</v>
      </c>
      <c r="C1333">
        <v>10.35</v>
      </c>
    </row>
    <row r="1334" spans="1:3">
      <c r="A1334">
        <v>5514</v>
      </c>
      <c r="B1334" t="s">
        <v>2294</v>
      </c>
      <c r="C1334">
        <v>12.15</v>
      </c>
    </row>
    <row r="1335" spans="1:3">
      <c r="A1335">
        <v>5516</v>
      </c>
      <c r="B1335" t="s">
        <v>2295</v>
      </c>
      <c r="C1335">
        <v>0</v>
      </c>
    </row>
    <row r="1336" spans="1:3">
      <c r="A1336">
        <v>5520</v>
      </c>
      <c r="B1336" t="s">
        <v>2296</v>
      </c>
      <c r="C1336">
        <v>25.8</v>
      </c>
    </row>
    <row r="1337" spans="1:3">
      <c r="A1337">
        <v>5523</v>
      </c>
      <c r="B1337" t="s">
        <v>485</v>
      </c>
      <c r="C1337">
        <v>8</v>
      </c>
    </row>
    <row r="1338" spans="1:3">
      <c r="A1338">
        <v>5529</v>
      </c>
      <c r="B1338" t="s">
        <v>2297</v>
      </c>
      <c r="C1338">
        <v>8.7200000000000006</v>
      </c>
    </row>
    <row r="1339" spans="1:3">
      <c r="A1339">
        <v>5530</v>
      </c>
      <c r="B1339" t="s">
        <v>2298</v>
      </c>
      <c r="C1339">
        <v>63.3</v>
      </c>
    </row>
    <row r="1340" spans="1:3">
      <c r="A1340">
        <v>5536</v>
      </c>
      <c r="B1340" t="s">
        <v>486</v>
      </c>
      <c r="C1340">
        <v>94</v>
      </c>
    </row>
    <row r="1341" spans="1:3">
      <c r="A1341">
        <v>5601</v>
      </c>
      <c r="B1341" t="s">
        <v>2299</v>
      </c>
      <c r="C1341">
        <v>26.6</v>
      </c>
    </row>
    <row r="1342" spans="1:3">
      <c r="A1342">
        <v>5603</v>
      </c>
      <c r="B1342" t="s">
        <v>487</v>
      </c>
      <c r="C1342">
        <v>15.5</v>
      </c>
    </row>
    <row r="1343" spans="1:3">
      <c r="A1343">
        <v>5604</v>
      </c>
      <c r="B1343" t="s">
        <v>2300</v>
      </c>
      <c r="C1343">
        <v>35.5</v>
      </c>
    </row>
    <row r="1344" spans="1:3">
      <c r="A1344">
        <v>5609</v>
      </c>
      <c r="B1344" t="s">
        <v>488</v>
      </c>
      <c r="C1344">
        <v>17.95</v>
      </c>
    </row>
    <row r="1345" spans="1:3">
      <c r="A1345">
        <v>5701</v>
      </c>
      <c r="B1345" t="s">
        <v>2301</v>
      </c>
      <c r="C1345">
        <v>3.39</v>
      </c>
    </row>
    <row r="1346" spans="1:3">
      <c r="A1346">
        <v>5703</v>
      </c>
      <c r="B1346" t="s">
        <v>2302</v>
      </c>
      <c r="C1346">
        <v>22.2</v>
      </c>
    </row>
    <row r="1347" spans="1:3">
      <c r="A1347">
        <v>5704</v>
      </c>
      <c r="B1347" t="s">
        <v>2303</v>
      </c>
      <c r="C1347">
        <v>27.45</v>
      </c>
    </row>
    <row r="1348" spans="1:3">
      <c r="A1348">
        <v>5820</v>
      </c>
      <c r="B1348" t="s">
        <v>2304</v>
      </c>
      <c r="C1348">
        <v>7.45</v>
      </c>
    </row>
    <row r="1349" spans="1:3">
      <c r="A1349">
        <v>5878</v>
      </c>
      <c r="B1349" t="s">
        <v>489</v>
      </c>
      <c r="C1349">
        <v>46</v>
      </c>
    </row>
    <row r="1350" spans="1:3">
      <c r="A1350">
        <v>5902</v>
      </c>
      <c r="B1350" t="s">
        <v>490</v>
      </c>
      <c r="C1350">
        <v>9.2799999999999994</v>
      </c>
    </row>
    <row r="1351" spans="1:3">
      <c r="A1351">
        <v>5903</v>
      </c>
      <c r="B1351" t="s">
        <v>2305</v>
      </c>
      <c r="C1351">
        <v>214</v>
      </c>
    </row>
    <row r="1352" spans="1:3">
      <c r="A1352">
        <v>5904</v>
      </c>
      <c r="B1352" t="s">
        <v>491</v>
      </c>
      <c r="C1352">
        <v>342.5</v>
      </c>
    </row>
    <row r="1353" spans="1:3">
      <c r="A1353">
        <v>5905</v>
      </c>
      <c r="B1353" t="s">
        <v>2306</v>
      </c>
      <c r="C1353">
        <v>9.6</v>
      </c>
    </row>
    <row r="1354" spans="1:3">
      <c r="A1354">
        <v>6015</v>
      </c>
      <c r="B1354" t="s">
        <v>2307</v>
      </c>
      <c r="C1354">
        <v>6.44</v>
      </c>
    </row>
    <row r="1355" spans="1:3">
      <c r="A1355">
        <v>6016</v>
      </c>
      <c r="B1355" t="s">
        <v>2308</v>
      </c>
      <c r="C1355">
        <v>6.67</v>
      </c>
    </row>
    <row r="1356" spans="1:3">
      <c r="A1356">
        <v>6020</v>
      </c>
      <c r="B1356" t="s">
        <v>492</v>
      </c>
      <c r="C1356">
        <v>13</v>
      </c>
    </row>
    <row r="1357" spans="1:3">
      <c r="A1357">
        <v>6021</v>
      </c>
      <c r="B1357" t="s">
        <v>493</v>
      </c>
      <c r="C1357">
        <v>11.05</v>
      </c>
    </row>
    <row r="1358" spans="1:3">
      <c r="A1358">
        <v>6022</v>
      </c>
      <c r="B1358" t="s">
        <v>2309</v>
      </c>
      <c r="C1358">
        <v>10.050000000000001</v>
      </c>
    </row>
    <row r="1359" spans="1:3">
      <c r="A1359">
        <v>6023</v>
      </c>
      <c r="B1359" t="s">
        <v>2310</v>
      </c>
      <c r="C1359">
        <v>35.450000000000003</v>
      </c>
    </row>
    <row r="1360" spans="1:3">
      <c r="A1360">
        <v>6024</v>
      </c>
      <c r="B1360" t="s">
        <v>494</v>
      </c>
      <c r="C1360">
        <v>28.9</v>
      </c>
    </row>
    <row r="1361" spans="1:3">
      <c r="A1361">
        <v>6101</v>
      </c>
      <c r="B1361" t="s">
        <v>2311</v>
      </c>
      <c r="C1361">
        <v>19.649999999999999</v>
      </c>
    </row>
    <row r="1362" spans="1:3">
      <c r="A1362">
        <v>6103</v>
      </c>
      <c r="B1362" t="s">
        <v>2312</v>
      </c>
      <c r="C1362">
        <v>6.9</v>
      </c>
    </row>
    <row r="1363" spans="1:3">
      <c r="A1363">
        <v>6104</v>
      </c>
      <c r="B1363" t="s">
        <v>2313</v>
      </c>
      <c r="C1363">
        <v>40.549999999999997</v>
      </c>
    </row>
    <row r="1364" spans="1:3">
      <c r="A1364">
        <v>6105</v>
      </c>
      <c r="B1364" t="s">
        <v>2314</v>
      </c>
      <c r="C1364">
        <v>41.8</v>
      </c>
    </row>
    <row r="1365" spans="1:3">
      <c r="A1365">
        <v>6107</v>
      </c>
      <c r="B1365" t="s">
        <v>2315</v>
      </c>
      <c r="C1365">
        <v>78</v>
      </c>
    </row>
    <row r="1366" spans="1:3">
      <c r="A1366">
        <v>6109</v>
      </c>
      <c r="B1366" t="s">
        <v>2316</v>
      </c>
      <c r="C1366">
        <v>13</v>
      </c>
    </row>
    <row r="1367" spans="1:3">
      <c r="A1367">
        <v>6111</v>
      </c>
      <c r="B1367" t="s">
        <v>2317</v>
      </c>
      <c r="C1367">
        <v>80.599999999999994</v>
      </c>
    </row>
    <row r="1368" spans="1:3">
      <c r="A1368">
        <v>6113</v>
      </c>
      <c r="B1368" t="s">
        <v>2318</v>
      </c>
      <c r="C1368">
        <v>9.08</v>
      </c>
    </row>
    <row r="1369" spans="1:3">
      <c r="A1369">
        <v>6114</v>
      </c>
      <c r="B1369" t="s">
        <v>2319</v>
      </c>
      <c r="C1369">
        <v>54.9</v>
      </c>
    </row>
    <row r="1370" spans="1:3">
      <c r="A1370">
        <v>6118</v>
      </c>
      <c r="B1370" t="s">
        <v>2320</v>
      </c>
      <c r="C1370">
        <v>8.8000000000000007</v>
      </c>
    </row>
    <row r="1371" spans="1:3">
      <c r="A1371">
        <v>6121</v>
      </c>
      <c r="B1371" t="s">
        <v>495</v>
      </c>
      <c r="C1371">
        <v>115</v>
      </c>
    </row>
    <row r="1372" spans="1:3">
      <c r="A1372">
        <v>6122</v>
      </c>
      <c r="B1372" t="s">
        <v>2321</v>
      </c>
      <c r="C1372">
        <v>7.13</v>
      </c>
    </row>
    <row r="1373" spans="1:3">
      <c r="A1373">
        <v>6123</v>
      </c>
      <c r="B1373" t="s">
        <v>2322</v>
      </c>
      <c r="C1373">
        <v>26.75</v>
      </c>
    </row>
    <row r="1374" spans="1:3">
      <c r="A1374">
        <v>6124</v>
      </c>
      <c r="B1374" t="s">
        <v>2323</v>
      </c>
      <c r="C1374">
        <v>23.7</v>
      </c>
    </row>
    <row r="1375" spans="1:3">
      <c r="A1375">
        <v>6125</v>
      </c>
      <c r="B1375" t="s">
        <v>496</v>
      </c>
      <c r="C1375">
        <v>12.8</v>
      </c>
    </row>
    <row r="1376" spans="1:3">
      <c r="A1376">
        <v>6126</v>
      </c>
      <c r="B1376" t="s">
        <v>2324</v>
      </c>
      <c r="C1376">
        <v>8.2100000000000009</v>
      </c>
    </row>
    <row r="1377" spans="1:3">
      <c r="A1377">
        <v>6127</v>
      </c>
      <c r="B1377" t="s">
        <v>2325</v>
      </c>
      <c r="C1377">
        <v>10.9</v>
      </c>
    </row>
    <row r="1378" spans="1:3">
      <c r="A1378">
        <v>6129</v>
      </c>
      <c r="B1378" t="s">
        <v>2326</v>
      </c>
      <c r="C1378">
        <v>7.18</v>
      </c>
    </row>
    <row r="1379" spans="1:3">
      <c r="A1379">
        <v>6130</v>
      </c>
      <c r="B1379" t="s">
        <v>497</v>
      </c>
      <c r="C1379">
        <v>27.05</v>
      </c>
    </row>
    <row r="1380" spans="1:3">
      <c r="A1380">
        <v>6134</v>
      </c>
      <c r="B1380" t="s">
        <v>2327</v>
      </c>
      <c r="C1380">
        <v>6.78</v>
      </c>
    </row>
    <row r="1381" spans="1:3">
      <c r="A1381">
        <v>6138</v>
      </c>
      <c r="B1381" t="s">
        <v>2328</v>
      </c>
      <c r="C1381">
        <v>19.95</v>
      </c>
    </row>
    <row r="1382" spans="1:3">
      <c r="A1382">
        <v>6140</v>
      </c>
      <c r="B1382" t="s">
        <v>2329</v>
      </c>
      <c r="C1382">
        <v>11.8</v>
      </c>
    </row>
    <row r="1383" spans="1:3">
      <c r="A1383">
        <v>6143</v>
      </c>
      <c r="B1383" t="s">
        <v>2330</v>
      </c>
      <c r="C1383">
        <v>67.7</v>
      </c>
    </row>
    <row r="1384" spans="1:3">
      <c r="A1384">
        <v>6144</v>
      </c>
      <c r="B1384" t="s">
        <v>2331</v>
      </c>
      <c r="C1384">
        <v>0</v>
      </c>
    </row>
    <row r="1385" spans="1:3">
      <c r="A1385">
        <v>6146</v>
      </c>
      <c r="B1385" t="s">
        <v>498</v>
      </c>
      <c r="C1385">
        <v>182</v>
      </c>
    </row>
    <row r="1386" spans="1:3">
      <c r="A1386">
        <v>6147</v>
      </c>
      <c r="B1386" t="s">
        <v>2332</v>
      </c>
      <c r="C1386">
        <v>46</v>
      </c>
    </row>
    <row r="1387" spans="1:3">
      <c r="A1387">
        <v>6148</v>
      </c>
      <c r="B1387" t="s">
        <v>2333</v>
      </c>
      <c r="C1387">
        <v>7.86</v>
      </c>
    </row>
    <row r="1388" spans="1:3">
      <c r="A1388">
        <v>6150</v>
      </c>
      <c r="B1388" t="s">
        <v>2334</v>
      </c>
      <c r="C1388">
        <v>7.61</v>
      </c>
    </row>
    <row r="1389" spans="1:3">
      <c r="A1389">
        <v>6151</v>
      </c>
      <c r="B1389" t="s">
        <v>2335</v>
      </c>
      <c r="C1389">
        <v>22.65</v>
      </c>
    </row>
    <row r="1390" spans="1:3">
      <c r="A1390">
        <v>6154</v>
      </c>
      <c r="B1390" t="s">
        <v>499</v>
      </c>
      <c r="C1390">
        <v>17.100000000000001</v>
      </c>
    </row>
    <row r="1391" spans="1:3">
      <c r="A1391">
        <v>6156</v>
      </c>
      <c r="B1391" t="s">
        <v>2468</v>
      </c>
      <c r="C1391">
        <v>13.15</v>
      </c>
    </row>
    <row r="1392" spans="1:3">
      <c r="A1392">
        <v>6158</v>
      </c>
      <c r="B1392" t="s">
        <v>500</v>
      </c>
      <c r="C1392">
        <v>11</v>
      </c>
    </row>
    <row r="1393" spans="1:3">
      <c r="A1393">
        <v>6160</v>
      </c>
      <c r="B1393" t="s">
        <v>2336</v>
      </c>
      <c r="C1393">
        <v>15.3</v>
      </c>
    </row>
    <row r="1394" spans="1:3">
      <c r="A1394">
        <v>6161</v>
      </c>
      <c r="B1394" t="s">
        <v>501</v>
      </c>
      <c r="C1394">
        <v>6.97</v>
      </c>
    </row>
    <row r="1395" spans="1:3">
      <c r="A1395">
        <v>6163</v>
      </c>
      <c r="B1395" t="s">
        <v>502</v>
      </c>
      <c r="C1395">
        <v>11.6</v>
      </c>
    </row>
    <row r="1396" spans="1:3">
      <c r="A1396">
        <v>6167</v>
      </c>
      <c r="B1396" t="s">
        <v>2337</v>
      </c>
      <c r="C1396">
        <v>4.17</v>
      </c>
    </row>
    <row r="1397" spans="1:3">
      <c r="A1397">
        <v>6169</v>
      </c>
      <c r="B1397" t="s">
        <v>2338</v>
      </c>
      <c r="C1397">
        <v>20.149999999999999</v>
      </c>
    </row>
    <row r="1398" spans="1:3">
      <c r="A1398">
        <v>6170</v>
      </c>
      <c r="B1398" t="s">
        <v>503</v>
      </c>
      <c r="C1398">
        <v>9.0500000000000007</v>
      </c>
    </row>
    <row r="1399" spans="1:3">
      <c r="A1399">
        <v>6171</v>
      </c>
      <c r="B1399" t="s">
        <v>504</v>
      </c>
      <c r="C1399">
        <v>14</v>
      </c>
    </row>
    <row r="1400" spans="1:3">
      <c r="A1400">
        <v>6173</v>
      </c>
      <c r="B1400" t="s">
        <v>2339</v>
      </c>
      <c r="C1400">
        <v>10.6</v>
      </c>
    </row>
    <row r="1401" spans="1:3">
      <c r="A1401">
        <v>6174</v>
      </c>
      <c r="B1401" t="s">
        <v>2340</v>
      </c>
      <c r="C1401">
        <v>14</v>
      </c>
    </row>
    <row r="1402" spans="1:3">
      <c r="A1402">
        <v>6175</v>
      </c>
      <c r="B1402" t="s">
        <v>505</v>
      </c>
      <c r="C1402">
        <v>12.9</v>
      </c>
    </row>
    <row r="1403" spans="1:3">
      <c r="A1403">
        <v>6179</v>
      </c>
      <c r="B1403" t="s">
        <v>506</v>
      </c>
      <c r="C1403">
        <v>38.549999999999997</v>
      </c>
    </row>
    <row r="1404" spans="1:3">
      <c r="A1404">
        <v>6180</v>
      </c>
      <c r="B1404" t="s">
        <v>2341</v>
      </c>
      <c r="C1404">
        <v>43.2</v>
      </c>
    </row>
    <row r="1405" spans="1:3">
      <c r="A1405">
        <v>6182</v>
      </c>
      <c r="B1405" t="s">
        <v>507</v>
      </c>
      <c r="C1405">
        <v>11.55</v>
      </c>
    </row>
    <row r="1406" spans="1:3">
      <c r="A1406">
        <v>6185</v>
      </c>
      <c r="B1406" t="s">
        <v>2342</v>
      </c>
      <c r="C1406">
        <v>23.45</v>
      </c>
    </row>
    <row r="1407" spans="1:3">
      <c r="A1407">
        <v>6186</v>
      </c>
      <c r="B1407" t="s">
        <v>508</v>
      </c>
      <c r="C1407">
        <v>23.25</v>
      </c>
    </row>
    <row r="1408" spans="1:3">
      <c r="A1408">
        <v>6187</v>
      </c>
      <c r="B1408" t="s">
        <v>2343</v>
      </c>
      <c r="C1408">
        <v>37.799999999999997</v>
      </c>
    </row>
    <row r="1409" spans="1:3">
      <c r="A1409">
        <v>6188</v>
      </c>
      <c r="B1409" t="s">
        <v>2344</v>
      </c>
      <c r="C1409">
        <v>22.6</v>
      </c>
    </row>
    <row r="1410" spans="1:3">
      <c r="A1410">
        <v>6190</v>
      </c>
      <c r="B1410" t="s">
        <v>509</v>
      </c>
      <c r="C1410">
        <v>6.65</v>
      </c>
    </row>
    <row r="1411" spans="1:3">
      <c r="A1411">
        <v>6194</v>
      </c>
      <c r="B1411" t="s">
        <v>2345</v>
      </c>
      <c r="C1411">
        <v>18.3</v>
      </c>
    </row>
    <row r="1412" spans="1:3">
      <c r="A1412">
        <v>6195</v>
      </c>
      <c r="B1412" t="s">
        <v>510</v>
      </c>
      <c r="C1412">
        <v>56.4</v>
      </c>
    </row>
    <row r="1413" spans="1:3">
      <c r="A1413">
        <v>6198</v>
      </c>
      <c r="B1413" t="s">
        <v>2346</v>
      </c>
      <c r="C1413">
        <v>14.75</v>
      </c>
    </row>
    <row r="1414" spans="1:3">
      <c r="A1414">
        <v>6199</v>
      </c>
      <c r="B1414" t="s">
        <v>2347</v>
      </c>
      <c r="C1414">
        <v>0</v>
      </c>
    </row>
    <row r="1415" spans="1:3">
      <c r="A1415">
        <v>6203</v>
      </c>
      <c r="B1415" t="s">
        <v>511</v>
      </c>
      <c r="C1415">
        <v>31.3</v>
      </c>
    </row>
    <row r="1416" spans="1:3">
      <c r="A1416">
        <v>6204</v>
      </c>
      <c r="B1416" t="s">
        <v>2348</v>
      </c>
      <c r="C1416">
        <v>23.4</v>
      </c>
    </row>
    <row r="1417" spans="1:3">
      <c r="A1417">
        <v>6207</v>
      </c>
      <c r="B1417" t="s">
        <v>512</v>
      </c>
      <c r="C1417">
        <v>28.15</v>
      </c>
    </row>
    <row r="1418" spans="1:3">
      <c r="A1418">
        <v>6208</v>
      </c>
      <c r="B1418" t="s">
        <v>2349</v>
      </c>
      <c r="C1418">
        <v>11.6</v>
      </c>
    </row>
    <row r="1419" spans="1:3">
      <c r="A1419">
        <v>6210</v>
      </c>
      <c r="B1419" t="s">
        <v>2350</v>
      </c>
      <c r="C1419">
        <v>41.45</v>
      </c>
    </row>
    <row r="1420" spans="1:3">
      <c r="A1420">
        <v>6211</v>
      </c>
      <c r="B1420" t="s">
        <v>2351</v>
      </c>
      <c r="C1420">
        <v>20</v>
      </c>
    </row>
    <row r="1421" spans="1:3">
      <c r="A1421">
        <v>6212</v>
      </c>
      <c r="B1421" t="s">
        <v>513</v>
      </c>
      <c r="C1421">
        <v>25.2</v>
      </c>
    </row>
    <row r="1422" spans="1:3">
      <c r="A1422">
        <v>6217</v>
      </c>
      <c r="B1422" t="s">
        <v>2352</v>
      </c>
      <c r="C1422">
        <v>47.05</v>
      </c>
    </row>
    <row r="1423" spans="1:3">
      <c r="A1423">
        <v>6218</v>
      </c>
      <c r="B1423" t="s">
        <v>2353</v>
      </c>
      <c r="C1423">
        <v>17.25</v>
      </c>
    </row>
    <row r="1424" spans="1:3">
      <c r="A1424">
        <v>6219</v>
      </c>
      <c r="B1424" t="s">
        <v>2354</v>
      </c>
      <c r="C1424">
        <v>12.1</v>
      </c>
    </row>
    <row r="1425" spans="1:3">
      <c r="A1425">
        <v>6220</v>
      </c>
      <c r="B1425" t="s">
        <v>514</v>
      </c>
      <c r="C1425">
        <v>17.100000000000001</v>
      </c>
    </row>
    <row r="1426" spans="1:3">
      <c r="A1426">
        <v>6221</v>
      </c>
      <c r="B1426" t="s">
        <v>515</v>
      </c>
      <c r="C1426">
        <v>23.55</v>
      </c>
    </row>
    <row r="1427" spans="1:3">
      <c r="A1427">
        <v>6222</v>
      </c>
      <c r="B1427" t="s">
        <v>2355</v>
      </c>
      <c r="C1427">
        <v>9.1</v>
      </c>
    </row>
    <row r="1428" spans="1:3">
      <c r="A1428">
        <v>6223</v>
      </c>
      <c r="B1428" t="s">
        <v>516</v>
      </c>
      <c r="C1428">
        <v>62.1</v>
      </c>
    </row>
    <row r="1429" spans="1:3">
      <c r="A1429">
        <v>6227</v>
      </c>
      <c r="B1429" t="s">
        <v>517</v>
      </c>
      <c r="C1429">
        <v>19.25</v>
      </c>
    </row>
    <row r="1430" spans="1:3">
      <c r="A1430">
        <v>6228</v>
      </c>
      <c r="B1430" t="s">
        <v>2356</v>
      </c>
      <c r="C1430">
        <v>13.3</v>
      </c>
    </row>
    <row r="1431" spans="1:3">
      <c r="A1431">
        <v>6229</v>
      </c>
      <c r="B1431" t="s">
        <v>518</v>
      </c>
      <c r="C1431">
        <v>12</v>
      </c>
    </row>
    <row r="1432" spans="1:3">
      <c r="A1432">
        <v>6231</v>
      </c>
      <c r="B1432" t="s">
        <v>519</v>
      </c>
      <c r="C1432">
        <v>30.8</v>
      </c>
    </row>
    <row r="1433" spans="1:3">
      <c r="A1433">
        <v>6233</v>
      </c>
      <c r="B1433" t="s">
        <v>2357</v>
      </c>
      <c r="C1433">
        <v>14</v>
      </c>
    </row>
    <row r="1434" spans="1:3">
      <c r="A1434">
        <v>6234</v>
      </c>
      <c r="B1434" t="s">
        <v>520</v>
      </c>
      <c r="C1434">
        <v>21.2</v>
      </c>
    </row>
    <row r="1435" spans="1:3">
      <c r="A1435">
        <v>6236</v>
      </c>
      <c r="B1435" t="s">
        <v>521</v>
      </c>
      <c r="C1435">
        <v>32.299999999999997</v>
      </c>
    </row>
    <row r="1436" spans="1:3">
      <c r="A1436">
        <v>6237</v>
      </c>
      <c r="B1436" t="s">
        <v>522</v>
      </c>
      <c r="C1436">
        <v>25.1</v>
      </c>
    </row>
    <row r="1437" spans="1:3">
      <c r="A1437">
        <v>6238</v>
      </c>
      <c r="B1437" t="s">
        <v>2358</v>
      </c>
      <c r="C1437">
        <v>139.5</v>
      </c>
    </row>
    <row r="1438" spans="1:3">
      <c r="A1438">
        <v>6240</v>
      </c>
      <c r="B1438" t="s">
        <v>2359</v>
      </c>
      <c r="C1438">
        <v>0</v>
      </c>
    </row>
    <row r="1439" spans="1:3">
      <c r="A1439">
        <v>6241</v>
      </c>
      <c r="B1439" t="s">
        <v>523</v>
      </c>
      <c r="C1439">
        <v>13.6</v>
      </c>
    </row>
    <row r="1440" spans="1:3">
      <c r="A1440">
        <v>6242</v>
      </c>
      <c r="B1440" t="s">
        <v>2360</v>
      </c>
      <c r="C1440">
        <v>0</v>
      </c>
    </row>
    <row r="1441" spans="1:3">
      <c r="A1441">
        <v>6244</v>
      </c>
      <c r="B1441" t="s">
        <v>524</v>
      </c>
      <c r="C1441">
        <v>45</v>
      </c>
    </row>
    <row r="1442" spans="1:3">
      <c r="A1442">
        <v>6245</v>
      </c>
      <c r="B1442" t="s">
        <v>2361</v>
      </c>
      <c r="C1442">
        <v>39.5</v>
      </c>
    </row>
    <row r="1443" spans="1:3">
      <c r="A1443">
        <v>6246</v>
      </c>
      <c r="B1443" t="s">
        <v>525</v>
      </c>
      <c r="C1443">
        <v>2.87</v>
      </c>
    </row>
    <row r="1444" spans="1:3">
      <c r="A1444">
        <v>6247</v>
      </c>
      <c r="B1444" t="s">
        <v>2362</v>
      </c>
      <c r="C1444">
        <v>15</v>
      </c>
    </row>
    <row r="1445" spans="1:3">
      <c r="A1445">
        <v>6248</v>
      </c>
      <c r="B1445" t="s">
        <v>526</v>
      </c>
      <c r="C1445">
        <v>22.65</v>
      </c>
    </row>
    <row r="1446" spans="1:3">
      <c r="A1446">
        <v>6259</v>
      </c>
      <c r="B1446" t="s">
        <v>528</v>
      </c>
      <c r="C1446">
        <v>9.99</v>
      </c>
    </row>
    <row r="1447" spans="1:3">
      <c r="A1447">
        <v>6261</v>
      </c>
      <c r="B1447" t="s">
        <v>529</v>
      </c>
      <c r="C1447">
        <v>47.6</v>
      </c>
    </row>
    <row r="1448" spans="1:3">
      <c r="A1448">
        <v>6263</v>
      </c>
      <c r="B1448" t="s">
        <v>2363</v>
      </c>
      <c r="C1448">
        <v>46</v>
      </c>
    </row>
    <row r="1449" spans="1:3">
      <c r="A1449">
        <v>6264</v>
      </c>
      <c r="B1449" t="s">
        <v>530</v>
      </c>
      <c r="C1449">
        <v>6.29</v>
      </c>
    </row>
    <row r="1450" spans="1:3">
      <c r="A1450">
        <v>6265</v>
      </c>
      <c r="B1450" t="s">
        <v>531</v>
      </c>
      <c r="C1450">
        <v>7.38</v>
      </c>
    </row>
    <row r="1451" spans="1:3">
      <c r="A1451">
        <v>6266</v>
      </c>
      <c r="B1451" t="s">
        <v>2364</v>
      </c>
      <c r="C1451">
        <v>13.7</v>
      </c>
    </row>
    <row r="1452" spans="1:3">
      <c r="A1452">
        <v>6270</v>
      </c>
      <c r="B1452" t="s">
        <v>2365</v>
      </c>
      <c r="C1452">
        <v>11.4</v>
      </c>
    </row>
    <row r="1453" spans="1:3">
      <c r="A1453">
        <v>6274</v>
      </c>
      <c r="B1453" t="s">
        <v>532</v>
      </c>
      <c r="C1453">
        <v>25.1</v>
      </c>
    </row>
    <row r="1454" spans="1:3">
      <c r="A1454">
        <v>6275</v>
      </c>
      <c r="B1454" t="s">
        <v>2366</v>
      </c>
      <c r="C1454">
        <v>13.5</v>
      </c>
    </row>
    <row r="1455" spans="1:3">
      <c r="A1455">
        <v>6276</v>
      </c>
      <c r="B1455" t="s">
        <v>533</v>
      </c>
      <c r="C1455">
        <v>8.07</v>
      </c>
    </row>
    <row r="1456" spans="1:3">
      <c r="A1456">
        <v>6279</v>
      </c>
      <c r="B1456" t="s">
        <v>2367</v>
      </c>
      <c r="C1456">
        <v>141</v>
      </c>
    </row>
    <row r="1457" spans="1:3">
      <c r="A1457">
        <v>6284</v>
      </c>
      <c r="B1457" t="s">
        <v>2368</v>
      </c>
      <c r="C1457">
        <v>27</v>
      </c>
    </row>
    <row r="1458" spans="1:3">
      <c r="A1458">
        <v>6287</v>
      </c>
      <c r="B1458" t="s">
        <v>2369</v>
      </c>
      <c r="C1458">
        <v>3</v>
      </c>
    </row>
    <row r="1459" spans="1:3">
      <c r="A1459">
        <v>6290</v>
      </c>
      <c r="B1459" t="s">
        <v>2370</v>
      </c>
      <c r="C1459">
        <v>25.7</v>
      </c>
    </row>
    <row r="1460" spans="1:3">
      <c r="A1460">
        <v>6291</v>
      </c>
      <c r="B1460" t="s">
        <v>534</v>
      </c>
      <c r="C1460">
        <v>0</v>
      </c>
    </row>
    <row r="1461" spans="1:3">
      <c r="A1461">
        <v>6292</v>
      </c>
      <c r="B1461" t="s">
        <v>2371</v>
      </c>
      <c r="C1461">
        <v>29</v>
      </c>
    </row>
    <row r="1462" spans="1:3">
      <c r="A1462">
        <v>6294</v>
      </c>
      <c r="B1462" t="s">
        <v>2372</v>
      </c>
      <c r="C1462">
        <v>115.5</v>
      </c>
    </row>
    <row r="1463" spans="1:3">
      <c r="A1463">
        <v>6298</v>
      </c>
      <c r="B1463" t="s">
        <v>2373</v>
      </c>
      <c r="C1463">
        <v>16.100000000000001</v>
      </c>
    </row>
    <row r="1464" spans="1:3">
      <c r="A1464">
        <v>6404</v>
      </c>
      <c r="B1464" t="s">
        <v>2374</v>
      </c>
      <c r="C1464">
        <v>52.8</v>
      </c>
    </row>
    <row r="1465" spans="1:3">
      <c r="A1465">
        <v>6411</v>
      </c>
      <c r="B1465" t="s">
        <v>535</v>
      </c>
      <c r="C1465">
        <v>31</v>
      </c>
    </row>
    <row r="1466" spans="1:3">
      <c r="A1466">
        <v>6417</v>
      </c>
      <c r="B1466" t="s">
        <v>859</v>
      </c>
      <c r="C1466">
        <v>58.7</v>
      </c>
    </row>
    <row r="1467" spans="1:3">
      <c r="A1467">
        <v>6419</v>
      </c>
      <c r="B1467" t="s">
        <v>2375</v>
      </c>
      <c r="C1467">
        <v>24.25</v>
      </c>
    </row>
    <row r="1468" spans="1:3">
      <c r="A1468">
        <v>6426</v>
      </c>
      <c r="B1468" t="s">
        <v>536</v>
      </c>
      <c r="C1468">
        <v>31.7</v>
      </c>
    </row>
    <row r="1469" spans="1:3">
      <c r="A1469">
        <v>6432</v>
      </c>
      <c r="B1469" t="s">
        <v>2376</v>
      </c>
      <c r="C1469">
        <v>30.45</v>
      </c>
    </row>
    <row r="1470" spans="1:3">
      <c r="A1470">
        <v>6457</v>
      </c>
      <c r="B1470" t="s">
        <v>2377</v>
      </c>
      <c r="C1470">
        <v>33.65</v>
      </c>
    </row>
    <row r="1471" spans="1:3">
      <c r="A1471">
        <v>6488</v>
      </c>
      <c r="B1471" t="s">
        <v>2378</v>
      </c>
      <c r="C1471">
        <v>73.2</v>
      </c>
    </row>
    <row r="1472" spans="1:3">
      <c r="A1472">
        <v>6506</v>
      </c>
      <c r="B1472" t="s">
        <v>2379</v>
      </c>
      <c r="C1472">
        <v>22.45</v>
      </c>
    </row>
    <row r="1473" spans="1:3">
      <c r="A1473">
        <v>6508</v>
      </c>
      <c r="B1473" t="s">
        <v>537</v>
      </c>
      <c r="C1473">
        <v>28.3</v>
      </c>
    </row>
    <row r="1474" spans="1:3">
      <c r="A1474">
        <v>6509</v>
      </c>
      <c r="B1474" t="s">
        <v>538</v>
      </c>
      <c r="C1474">
        <v>19.55</v>
      </c>
    </row>
    <row r="1475" spans="1:3">
      <c r="A1475">
        <v>6603</v>
      </c>
      <c r="B1475" t="s">
        <v>539</v>
      </c>
      <c r="C1475">
        <v>11.4</v>
      </c>
    </row>
    <row r="1476" spans="1:3">
      <c r="A1476">
        <v>6609</v>
      </c>
      <c r="B1476" t="s">
        <v>540</v>
      </c>
      <c r="C1476">
        <v>29.45</v>
      </c>
    </row>
    <row r="1477" spans="1:3">
      <c r="A1477">
        <v>6803</v>
      </c>
      <c r="B1477" t="s">
        <v>2380</v>
      </c>
      <c r="C1477">
        <v>163</v>
      </c>
    </row>
    <row r="1478" spans="1:3">
      <c r="A1478">
        <v>8024</v>
      </c>
      <c r="B1478" t="s">
        <v>541</v>
      </c>
      <c r="C1478">
        <v>11.3</v>
      </c>
    </row>
    <row r="1479" spans="1:3">
      <c r="A1479">
        <v>8027</v>
      </c>
      <c r="B1479" t="s">
        <v>2381</v>
      </c>
      <c r="C1479">
        <v>22.1</v>
      </c>
    </row>
    <row r="1480" spans="1:3">
      <c r="A1480">
        <v>8032</v>
      </c>
      <c r="B1480" t="s">
        <v>2382</v>
      </c>
      <c r="C1480">
        <v>27.6</v>
      </c>
    </row>
    <row r="1481" spans="1:3">
      <c r="A1481">
        <v>8034</v>
      </c>
      <c r="B1481" t="s">
        <v>2383</v>
      </c>
      <c r="C1481">
        <v>6.5</v>
      </c>
    </row>
    <row r="1482" spans="1:3">
      <c r="A1482">
        <v>8038</v>
      </c>
      <c r="B1482" t="s">
        <v>542</v>
      </c>
      <c r="C1482">
        <v>32</v>
      </c>
    </row>
    <row r="1483" spans="1:3">
      <c r="A1483">
        <v>8040</v>
      </c>
      <c r="B1483" t="s">
        <v>2384</v>
      </c>
      <c r="C1483">
        <v>8.08</v>
      </c>
    </row>
    <row r="1484" spans="1:3">
      <c r="A1484">
        <v>8042</v>
      </c>
      <c r="B1484" t="s">
        <v>2385</v>
      </c>
      <c r="C1484">
        <v>38.9</v>
      </c>
    </row>
    <row r="1485" spans="1:3">
      <c r="A1485">
        <v>8043</v>
      </c>
      <c r="B1485" t="s">
        <v>2386</v>
      </c>
      <c r="C1485">
        <v>14</v>
      </c>
    </row>
    <row r="1486" spans="1:3">
      <c r="A1486">
        <v>8044</v>
      </c>
      <c r="B1486" t="s">
        <v>2387</v>
      </c>
      <c r="C1486">
        <v>362.5</v>
      </c>
    </row>
    <row r="1487" spans="1:3">
      <c r="A1487">
        <v>8047</v>
      </c>
      <c r="B1487" t="s">
        <v>2388</v>
      </c>
      <c r="C1487">
        <v>11.15</v>
      </c>
    </row>
    <row r="1488" spans="1:3">
      <c r="A1488">
        <v>8048</v>
      </c>
      <c r="B1488" t="s">
        <v>2389</v>
      </c>
      <c r="C1488">
        <v>44.75</v>
      </c>
    </row>
    <row r="1489" spans="1:3">
      <c r="A1489">
        <v>8049</v>
      </c>
      <c r="B1489" t="s">
        <v>2390</v>
      </c>
      <c r="C1489">
        <v>9.69</v>
      </c>
    </row>
    <row r="1490" spans="1:3">
      <c r="A1490">
        <v>8050</v>
      </c>
      <c r="B1490" t="s">
        <v>2391</v>
      </c>
      <c r="C1490">
        <v>50.3</v>
      </c>
    </row>
    <row r="1491" spans="1:3">
      <c r="A1491">
        <v>8053</v>
      </c>
      <c r="B1491" t="s">
        <v>2392</v>
      </c>
      <c r="C1491">
        <v>1.7</v>
      </c>
    </row>
    <row r="1492" spans="1:3">
      <c r="A1492">
        <v>8054</v>
      </c>
      <c r="B1492" t="s">
        <v>543</v>
      </c>
      <c r="C1492">
        <v>22.4</v>
      </c>
    </row>
    <row r="1493" spans="1:3">
      <c r="A1493">
        <v>8059</v>
      </c>
      <c r="B1493" t="s">
        <v>2393</v>
      </c>
      <c r="C1493">
        <v>11.55</v>
      </c>
    </row>
    <row r="1494" spans="1:3">
      <c r="A1494">
        <v>8064</v>
      </c>
      <c r="B1494" t="s">
        <v>544</v>
      </c>
      <c r="C1494">
        <v>12.8</v>
      </c>
    </row>
    <row r="1495" spans="1:3">
      <c r="A1495">
        <v>8066</v>
      </c>
      <c r="B1495" t="s">
        <v>2394</v>
      </c>
      <c r="C1495">
        <v>95.1</v>
      </c>
    </row>
    <row r="1496" spans="1:3">
      <c r="A1496">
        <v>8067</v>
      </c>
      <c r="B1496" t="s">
        <v>2395</v>
      </c>
      <c r="C1496">
        <v>5.71</v>
      </c>
    </row>
    <row r="1497" spans="1:3">
      <c r="A1497">
        <v>8068</v>
      </c>
      <c r="B1497" t="s">
        <v>545</v>
      </c>
      <c r="C1497">
        <v>15.9</v>
      </c>
    </row>
    <row r="1498" spans="1:3">
      <c r="A1498">
        <v>8069</v>
      </c>
      <c r="B1498" t="s">
        <v>2396</v>
      </c>
      <c r="C1498">
        <v>16.3</v>
      </c>
    </row>
    <row r="1499" spans="1:3">
      <c r="A1499">
        <v>8071</v>
      </c>
      <c r="B1499" t="s">
        <v>546</v>
      </c>
      <c r="C1499">
        <v>14.55</v>
      </c>
    </row>
    <row r="1500" spans="1:3">
      <c r="A1500">
        <v>8074</v>
      </c>
      <c r="B1500" t="s">
        <v>2397</v>
      </c>
      <c r="C1500">
        <v>25.95</v>
      </c>
    </row>
    <row r="1501" spans="1:3">
      <c r="A1501">
        <v>8076</v>
      </c>
      <c r="B1501" t="s">
        <v>2398</v>
      </c>
      <c r="C1501">
        <v>104</v>
      </c>
    </row>
    <row r="1502" spans="1:3">
      <c r="A1502">
        <v>8077</v>
      </c>
      <c r="B1502" t="s">
        <v>2399</v>
      </c>
      <c r="C1502">
        <v>58</v>
      </c>
    </row>
    <row r="1503" spans="1:3">
      <c r="A1503">
        <v>8079</v>
      </c>
      <c r="B1503" t="s">
        <v>2400</v>
      </c>
      <c r="C1503">
        <v>12.4</v>
      </c>
    </row>
    <row r="1504" spans="1:3">
      <c r="A1504">
        <v>8080</v>
      </c>
      <c r="B1504" t="s">
        <v>547</v>
      </c>
      <c r="C1504">
        <v>14.1</v>
      </c>
    </row>
    <row r="1505" spans="1:3">
      <c r="A1505">
        <v>8082</v>
      </c>
      <c r="B1505" t="s">
        <v>548</v>
      </c>
      <c r="C1505">
        <v>2</v>
      </c>
    </row>
    <row r="1506" spans="1:3">
      <c r="A1506">
        <v>8083</v>
      </c>
      <c r="B1506" t="s">
        <v>549</v>
      </c>
      <c r="C1506">
        <v>134</v>
      </c>
    </row>
    <row r="1507" spans="1:3">
      <c r="A1507">
        <v>8084</v>
      </c>
      <c r="B1507" t="s">
        <v>2401</v>
      </c>
      <c r="C1507">
        <v>19.5</v>
      </c>
    </row>
    <row r="1508" spans="1:3">
      <c r="A1508">
        <v>8085</v>
      </c>
      <c r="B1508" t="s">
        <v>550</v>
      </c>
      <c r="C1508">
        <v>5.04</v>
      </c>
    </row>
    <row r="1509" spans="1:3">
      <c r="A1509">
        <v>8086</v>
      </c>
      <c r="B1509" t="s">
        <v>2402</v>
      </c>
      <c r="C1509">
        <v>77.599999999999994</v>
      </c>
    </row>
    <row r="1510" spans="1:3">
      <c r="A1510">
        <v>8087</v>
      </c>
      <c r="B1510" t="s">
        <v>551</v>
      </c>
      <c r="C1510">
        <v>8.11</v>
      </c>
    </row>
    <row r="1511" spans="1:3">
      <c r="A1511">
        <v>8088</v>
      </c>
      <c r="B1511" t="s">
        <v>552</v>
      </c>
      <c r="C1511">
        <v>15.65</v>
      </c>
    </row>
    <row r="1512" spans="1:3">
      <c r="A1512">
        <v>8091</v>
      </c>
      <c r="B1512" t="s">
        <v>2403</v>
      </c>
      <c r="C1512">
        <v>63.2</v>
      </c>
    </row>
    <row r="1513" spans="1:3">
      <c r="A1513">
        <v>8092</v>
      </c>
      <c r="B1513" t="s">
        <v>2404</v>
      </c>
      <c r="C1513">
        <v>9.33</v>
      </c>
    </row>
    <row r="1514" spans="1:3">
      <c r="A1514">
        <v>8093</v>
      </c>
      <c r="B1514" t="s">
        <v>2405</v>
      </c>
      <c r="C1514">
        <v>5.39</v>
      </c>
    </row>
    <row r="1515" spans="1:3">
      <c r="A1515">
        <v>8096</v>
      </c>
      <c r="B1515" t="s">
        <v>2406</v>
      </c>
      <c r="C1515">
        <v>19.149999999999999</v>
      </c>
    </row>
    <row r="1516" spans="1:3">
      <c r="A1516">
        <v>8097</v>
      </c>
      <c r="B1516" t="s">
        <v>2407</v>
      </c>
      <c r="C1516">
        <v>0</v>
      </c>
    </row>
    <row r="1517" spans="1:3">
      <c r="A1517">
        <v>8099</v>
      </c>
      <c r="B1517" t="s">
        <v>2408</v>
      </c>
      <c r="C1517">
        <v>18</v>
      </c>
    </row>
    <row r="1518" spans="1:3">
      <c r="A1518">
        <v>8107</v>
      </c>
      <c r="B1518" t="s">
        <v>553</v>
      </c>
      <c r="C1518">
        <v>17</v>
      </c>
    </row>
    <row r="1519" spans="1:3">
      <c r="A1519">
        <v>8109</v>
      </c>
      <c r="B1519" t="s">
        <v>2409</v>
      </c>
      <c r="C1519">
        <v>61.7</v>
      </c>
    </row>
    <row r="1520" spans="1:3">
      <c r="A1520">
        <v>8111</v>
      </c>
      <c r="B1520" t="s">
        <v>2410</v>
      </c>
      <c r="C1520">
        <v>4.7300000000000004</v>
      </c>
    </row>
    <row r="1521" spans="1:3">
      <c r="A1521">
        <v>8121</v>
      </c>
      <c r="B1521" t="s">
        <v>2411</v>
      </c>
      <c r="C1521">
        <v>16.8</v>
      </c>
    </row>
    <row r="1522" spans="1:3">
      <c r="A1522">
        <v>8147</v>
      </c>
      <c r="B1522" t="s">
        <v>2412</v>
      </c>
      <c r="C1522">
        <v>55.8</v>
      </c>
    </row>
    <row r="1523" spans="1:3">
      <c r="A1523">
        <v>8155</v>
      </c>
      <c r="B1523" t="s">
        <v>2413</v>
      </c>
      <c r="C1523">
        <v>21.25</v>
      </c>
    </row>
    <row r="1524" spans="1:3">
      <c r="A1524">
        <v>8171</v>
      </c>
      <c r="B1524" t="s">
        <v>2414</v>
      </c>
      <c r="C1524">
        <v>8.68</v>
      </c>
    </row>
    <row r="1525" spans="1:3">
      <c r="A1525">
        <v>8176</v>
      </c>
      <c r="B1525" t="s">
        <v>2415</v>
      </c>
      <c r="C1525">
        <v>7.9</v>
      </c>
    </row>
    <row r="1526" spans="1:3">
      <c r="A1526">
        <v>8182</v>
      </c>
      <c r="B1526" t="s">
        <v>2416</v>
      </c>
      <c r="C1526">
        <v>12.3</v>
      </c>
    </row>
    <row r="1527" spans="1:3">
      <c r="A1527">
        <v>8183</v>
      </c>
      <c r="B1527" t="s">
        <v>2417</v>
      </c>
      <c r="C1527">
        <v>5.5</v>
      </c>
    </row>
    <row r="1528" spans="1:3">
      <c r="A1528">
        <v>8234</v>
      </c>
      <c r="B1528" t="s">
        <v>554</v>
      </c>
      <c r="C1528">
        <v>30.5</v>
      </c>
    </row>
    <row r="1529" spans="1:3">
      <c r="A1529">
        <v>8240</v>
      </c>
      <c r="B1529" t="s">
        <v>2418</v>
      </c>
      <c r="C1529">
        <v>22.45</v>
      </c>
    </row>
    <row r="1530" spans="1:3">
      <c r="A1530">
        <v>8255</v>
      </c>
      <c r="B1530" t="s">
        <v>2419</v>
      </c>
      <c r="C1530">
        <v>106</v>
      </c>
    </row>
    <row r="1531" spans="1:3">
      <c r="A1531">
        <v>8266</v>
      </c>
      <c r="B1531" t="s">
        <v>2420</v>
      </c>
      <c r="C1531">
        <v>22.5</v>
      </c>
    </row>
    <row r="1532" spans="1:3">
      <c r="A1532">
        <v>8277</v>
      </c>
      <c r="B1532" t="s">
        <v>2421</v>
      </c>
      <c r="C1532">
        <v>7.03</v>
      </c>
    </row>
    <row r="1533" spans="1:3">
      <c r="A1533">
        <v>8287</v>
      </c>
      <c r="B1533" t="s">
        <v>2422</v>
      </c>
      <c r="C1533">
        <v>17</v>
      </c>
    </row>
    <row r="1534" spans="1:3">
      <c r="A1534">
        <v>8289</v>
      </c>
      <c r="B1534" t="s">
        <v>2423</v>
      </c>
      <c r="C1534">
        <v>10.75</v>
      </c>
    </row>
    <row r="1535" spans="1:3">
      <c r="A1535">
        <v>8291</v>
      </c>
      <c r="B1535" t="s">
        <v>2424</v>
      </c>
      <c r="C1535">
        <v>5.99</v>
      </c>
    </row>
    <row r="1536" spans="1:3">
      <c r="A1536">
        <v>8299</v>
      </c>
      <c r="B1536" t="s">
        <v>2425</v>
      </c>
      <c r="C1536">
        <v>226</v>
      </c>
    </row>
    <row r="1537" spans="1:3">
      <c r="A1537">
        <v>8349</v>
      </c>
      <c r="B1537" t="s">
        <v>2426</v>
      </c>
      <c r="C1537">
        <v>82.5</v>
      </c>
    </row>
    <row r="1538" spans="1:3">
      <c r="A1538">
        <v>8354</v>
      </c>
      <c r="B1538" t="s">
        <v>2427</v>
      </c>
      <c r="C1538">
        <v>14.05</v>
      </c>
    </row>
    <row r="1539" spans="1:3">
      <c r="A1539">
        <v>8358</v>
      </c>
      <c r="B1539" t="s">
        <v>2428</v>
      </c>
      <c r="C1539">
        <v>8.64</v>
      </c>
    </row>
    <row r="1540" spans="1:3">
      <c r="A1540">
        <v>8383</v>
      </c>
      <c r="B1540" t="s">
        <v>555</v>
      </c>
      <c r="C1540">
        <v>54.8</v>
      </c>
    </row>
    <row r="1541" spans="1:3">
      <c r="A1541">
        <v>8390</v>
      </c>
      <c r="B1541" t="s">
        <v>2429</v>
      </c>
      <c r="C1541">
        <v>15.05</v>
      </c>
    </row>
    <row r="1542" spans="1:3">
      <c r="A1542">
        <v>8401</v>
      </c>
      <c r="B1542" t="s">
        <v>2430</v>
      </c>
      <c r="C1542">
        <v>13</v>
      </c>
    </row>
    <row r="1543" spans="1:3">
      <c r="A1543">
        <v>8403</v>
      </c>
      <c r="B1543" t="s">
        <v>2431</v>
      </c>
      <c r="C1543">
        <v>41.3</v>
      </c>
    </row>
    <row r="1544" spans="1:3">
      <c r="A1544">
        <v>8406</v>
      </c>
      <c r="B1544" t="s">
        <v>2432</v>
      </c>
      <c r="C1544">
        <v>349.5</v>
      </c>
    </row>
    <row r="1545" spans="1:3">
      <c r="A1545">
        <v>8409</v>
      </c>
      <c r="B1545" t="s">
        <v>2433</v>
      </c>
      <c r="C1545">
        <v>26.5</v>
      </c>
    </row>
    <row r="1546" spans="1:3">
      <c r="A1546">
        <v>8410</v>
      </c>
      <c r="B1546" t="s">
        <v>556</v>
      </c>
      <c r="C1546">
        <v>18.75</v>
      </c>
    </row>
    <row r="1547" spans="1:3">
      <c r="A1547">
        <v>8416</v>
      </c>
      <c r="B1547" t="s">
        <v>557</v>
      </c>
      <c r="C1547">
        <v>102</v>
      </c>
    </row>
    <row r="1548" spans="1:3">
      <c r="A1548">
        <v>8418</v>
      </c>
      <c r="B1548" t="s">
        <v>2434</v>
      </c>
      <c r="C1548">
        <v>17.75</v>
      </c>
    </row>
    <row r="1549" spans="1:3">
      <c r="A1549">
        <v>8420</v>
      </c>
      <c r="B1549" t="s">
        <v>558</v>
      </c>
      <c r="C1549">
        <v>23.05</v>
      </c>
    </row>
    <row r="1550" spans="1:3">
      <c r="A1550">
        <v>8421</v>
      </c>
      <c r="B1550" t="s">
        <v>559</v>
      </c>
      <c r="C1550">
        <v>12.8</v>
      </c>
    </row>
    <row r="1551" spans="1:3">
      <c r="A1551">
        <v>8423</v>
      </c>
      <c r="B1551" t="s">
        <v>2435</v>
      </c>
      <c r="C1551">
        <v>22.6</v>
      </c>
    </row>
    <row r="1552" spans="1:3">
      <c r="A1552">
        <v>8424</v>
      </c>
      <c r="B1552" t="s">
        <v>560</v>
      </c>
      <c r="C1552">
        <v>38.799999999999997</v>
      </c>
    </row>
    <row r="1553" spans="1:3">
      <c r="A1553">
        <v>8426</v>
      </c>
      <c r="B1553" t="s">
        <v>2436</v>
      </c>
      <c r="C1553">
        <v>28.3</v>
      </c>
    </row>
    <row r="1554" spans="1:3">
      <c r="A1554">
        <v>8431</v>
      </c>
      <c r="B1554" t="s">
        <v>561</v>
      </c>
      <c r="C1554">
        <v>63.8</v>
      </c>
    </row>
    <row r="1555" spans="1:3">
      <c r="A1555">
        <v>8432</v>
      </c>
      <c r="B1555" t="s">
        <v>562</v>
      </c>
      <c r="C1555">
        <v>48</v>
      </c>
    </row>
    <row r="1556" spans="1:3">
      <c r="A1556">
        <v>8433</v>
      </c>
      <c r="B1556" t="s">
        <v>563</v>
      </c>
      <c r="C1556">
        <v>117.5</v>
      </c>
    </row>
    <row r="1557" spans="1:3">
      <c r="A1557">
        <v>8435</v>
      </c>
      <c r="B1557" t="s">
        <v>564</v>
      </c>
      <c r="C1557">
        <v>47.1</v>
      </c>
    </row>
    <row r="1558" spans="1:3">
      <c r="A1558">
        <v>8436</v>
      </c>
      <c r="B1558" t="s">
        <v>2437</v>
      </c>
      <c r="C1558">
        <v>98</v>
      </c>
    </row>
    <row r="1559" spans="1:3">
      <c r="A1559">
        <v>8437</v>
      </c>
      <c r="B1559" t="s">
        <v>2438</v>
      </c>
      <c r="C1559">
        <v>131</v>
      </c>
    </row>
    <row r="1560" spans="1:3">
      <c r="A1560">
        <v>8446</v>
      </c>
      <c r="B1560" t="s">
        <v>2439</v>
      </c>
      <c r="C1560">
        <v>102.5</v>
      </c>
    </row>
    <row r="1561" spans="1:3">
      <c r="A1561">
        <v>8450</v>
      </c>
      <c r="B1561" t="s">
        <v>565</v>
      </c>
      <c r="C1561">
        <v>82.5</v>
      </c>
    </row>
    <row r="1562" spans="1:3">
      <c r="A1562">
        <v>8905</v>
      </c>
      <c r="B1562" t="s">
        <v>2440</v>
      </c>
      <c r="C1562">
        <v>14.95</v>
      </c>
    </row>
    <row r="1563" spans="1:3">
      <c r="A1563">
        <v>8906</v>
      </c>
      <c r="B1563" t="s">
        <v>2441</v>
      </c>
      <c r="C1563">
        <v>8.18</v>
      </c>
    </row>
    <row r="1564" spans="1:3">
      <c r="A1564">
        <v>8908</v>
      </c>
      <c r="B1564" t="s">
        <v>566</v>
      </c>
      <c r="C1564">
        <v>36.9</v>
      </c>
    </row>
    <row r="1565" spans="1:3">
      <c r="A1565">
        <v>8913</v>
      </c>
      <c r="B1565" t="s">
        <v>567</v>
      </c>
      <c r="C1565">
        <v>15.4</v>
      </c>
    </row>
    <row r="1566" spans="1:3">
      <c r="A1566">
        <v>8916</v>
      </c>
      <c r="B1566" t="s">
        <v>568</v>
      </c>
      <c r="C1566">
        <v>49.3</v>
      </c>
    </row>
    <row r="1567" spans="1:3">
      <c r="A1567">
        <v>8917</v>
      </c>
      <c r="B1567" t="s">
        <v>569</v>
      </c>
      <c r="C1567">
        <v>0</v>
      </c>
    </row>
    <row r="1568" spans="1:3">
      <c r="A1568">
        <v>8921</v>
      </c>
      <c r="B1568" t="s">
        <v>2442</v>
      </c>
      <c r="C1568">
        <v>0</v>
      </c>
    </row>
    <row r="1569" spans="1:3">
      <c r="A1569">
        <v>8923</v>
      </c>
      <c r="B1569" t="s">
        <v>2443</v>
      </c>
      <c r="C1569">
        <v>17.850000000000001</v>
      </c>
    </row>
    <row r="1570" spans="1:3">
      <c r="A1570">
        <v>8924</v>
      </c>
      <c r="B1570" t="s">
        <v>2444</v>
      </c>
      <c r="C1570">
        <v>21.4</v>
      </c>
    </row>
    <row r="1571" spans="1:3">
      <c r="A1571">
        <v>8925</v>
      </c>
      <c r="B1571" t="s">
        <v>2445</v>
      </c>
      <c r="C1571">
        <v>1.23</v>
      </c>
    </row>
    <row r="1572" spans="1:3">
      <c r="A1572">
        <v>8927</v>
      </c>
      <c r="B1572" t="s">
        <v>570</v>
      </c>
      <c r="C1572">
        <v>9.9</v>
      </c>
    </row>
    <row r="1573" spans="1:3">
      <c r="A1573">
        <v>8928</v>
      </c>
      <c r="B1573" t="s">
        <v>571</v>
      </c>
      <c r="C1573">
        <v>44.4</v>
      </c>
    </row>
    <row r="1574" spans="1:3">
      <c r="A1574">
        <v>8929</v>
      </c>
      <c r="B1574" t="s">
        <v>572</v>
      </c>
      <c r="C1574">
        <v>24</v>
      </c>
    </row>
    <row r="1575" spans="1:3">
      <c r="A1575">
        <v>8930</v>
      </c>
      <c r="B1575" t="s">
        <v>573</v>
      </c>
      <c r="C1575">
        <v>9.0500000000000007</v>
      </c>
    </row>
    <row r="1576" spans="1:3">
      <c r="A1576">
        <v>8931</v>
      </c>
      <c r="B1576" t="s">
        <v>2446</v>
      </c>
      <c r="C1576">
        <v>19.8</v>
      </c>
    </row>
    <row r="1577" spans="1:3">
      <c r="A1577">
        <v>8932</v>
      </c>
      <c r="B1577" t="s">
        <v>2447</v>
      </c>
      <c r="C1577">
        <v>9.01</v>
      </c>
    </row>
    <row r="1578" spans="1:3">
      <c r="A1578">
        <v>8933</v>
      </c>
      <c r="B1578" t="s">
        <v>2448</v>
      </c>
      <c r="C1578">
        <v>17.7</v>
      </c>
    </row>
    <row r="1579" spans="1:3">
      <c r="A1579">
        <v>8934</v>
      </c>
      <c r="B1579" t="s">
        <v>2449</v>
      </c>
      <c r="C1579">
        <v>0</v>
      </c>
    </row>
    <row r="1580" spans="1:3">
      <c r="A1580">
        <v>8935</v>
      </c>
      <c r="B1580" t="s">
        <v>574</v>
      </c>
      <c r="C1580">
        <v>6.35</v>
      </c>
    </row>
    <row r="1581" spans="1:3">
      <c r="A1581">
        <v>8936</v>
      </c>
      <c r="B1581" t="s">
        <v>2450</v>
      </c>
      <c r="C1581">
        <v>37.1</v>
      </c>
    </row>
    <row r="1582" spans="1:3">
      <c r="A1582">
        <v>8937</v>
      </c>
      <c r="B1582" t="s">
        <v>2451</v>
      </c>
      <c r="C1582">
        <v>12.25</v>
      </c>
    </row>
    <row r="1583" spans="1:3">
      <c r="A1583">
        <v>8938</v>
      </c>
      <c r="B1583" t="s">
        <v>575</v>
      </c>
      <c r="C1583">
        <v>20.8</v>
      </c>
    </row>
    <row r="1584" spans="1:3">
      <c r="A1584">
        <v>8941</v>
      </c>
      <c r="B1584" t="s">
        <v>576</v>
      </c>
      <c r="C1584">
        <v>94.8</v>
      </c>
    </row>
    <row r="1585" spans="1:3">
      <c r="A1585">
        <v>8942</v>
      </c>
      <c r="B1585" t="s">
        <v>2452</v>
      </c>
      <c r="C1585">
        <v>97.3</v>
      </c>
    </row>
    <row r="1586" spans="1:3">
      <c r="A1586">
        <v>911613</v>
      </c>
      <c r="B1586" t="s">
        <v>2453</v>
      </c>
      <c r="C1586">
        <v>0</v>
      </c>
    </row>
    <row r="1587" spans="1:3">
      <c r="A1587">
        <v>9949</v>
      </c>
      <c r="B1587" t="s">
        <v>577</v>
      </c>
      <c r="C1587">
        <v>14.65</v>
      </c>
    </row>
    <row r="1588" spans="1:3">
      <c r="A1588">
        <v>9950</v>
      </c>
      <c r="B1588" t="s">
        <v>2454</v>
      </c>
      <c r="C1588">
        <v>21</v>
      </c>
    </row>
    <row r="1589" spans="1:3">
      <c r="A1589">
        <v>9951</v>
      </c>
      <c r="B1589" t="s">
        <v>2455</v>
      </c>
      <c r="C1589">
        <v>167</v>
      </c>
    </row>
    <row r="1590" spans="1:3">
      <c r="A1590">
        <v>9960</v>
      </c>
      <c r="B1590" t="s">
        <v>578</v>
      </c>
      <c r="C1590">
        <v>19.25</v>
      </c>
    </row>
    <row r="1591" spans="1:3">
      <c r="A1591">
        <v>9962</v>
      </c>
      <c r="B1591" t="s">
        <v>2456</v>
      </c>
      <c r="C1591">
        <v>8.7899999999999991</v>
      </c>
    </row>
  </sheetData>
  <phoneticPr fontId="2" type="noConversion"/>
  <pageMargins left="0.7" right="0.7" top="0.75" bottom="0.75" header="0.3" footer="0.3"/>
  <drawing r:id="rId1"/>
  <legacyDrawing r:id="rId2"/>
  <controls>
    <mc:AlternateContent xmlns:mc="http://schemas.openxmlformats.org/markup-compatibility/2006">
      <mc:Choice Requires="x14">
        <control shapeId="22529" r:id="rId3" name="CommandButton1">
          <controlPr defaultSize="0" autoLine="0" r:id="rId4">
            <anchor moveWithCells="1">
              <from>
                <xdr:col>1</xdr:col>
                <xdr:colOff>123825</xdr:colOff>
                <xdr:row>0</xdr:row>
                <xdr:rowOff>28575</xdr:rowOff>
              </from>
              <to>
                <xdr:col>1</xdr:col>
                <xdr:colOff>1000125</xdr:colOff>
                <xdr:row>0</xdr:row>
                <xdr:rowOff>400050</xdr:rowOff>
              </to>
            </anchor>
          </controlPr>
        </control>
      </mc:Choice>
      <mc:Fallback>
        <control shapeId="22529" r:id="rId3" name="CommandButton1"/>
      </mc:Fallback>
    </mc:AlternateContent>
    <mc:AlternateContent xmlns:mc="http://schemas.openxmlformats.org/markup-compatibility/2006">
      <mc:Choice Requires="x14">
        <control shapeId="22530" r:id="rId5" name="CommandButton2">
          <controlPr defaultSize="0" autoLine="0" r:id="rId6">
            <anchor moveWithCells="1">
              <from>
                <xdr:col>2</xdr:col>
                <xdr:colOff>0</xdr:colOff>
                <xdr:row>0</xdr:row>
                <xdr:rowOff>76200</xdr:rowOff>
              </from>
              <to>
                <xdr:col>2</xdr:col>
                <xdr:colOff>581025</xdr:colOff>
                <xdr:row>0</xdr:row>
                <xdr:rowOff>371475</xdr:rowOff>
              </to>
            </anchor>
          </controlPr>
        </control>
      </mc:Choice>
      <mc:Fallback>
        <control shapeId="22530" r:id="rId5"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紅綠燈"/>
  <dimension ref="A1:AE346"/>
  <sheetViews>
    <sheetView tabSelected="1" zoomScale="80" zoomScaleNormal="80" workbookViewId="0">
      <pane xSplit="11" ySplit="1" topLeftCell="L2" activePane="bottomRight" state="frozen"/>
      <selection pane="topRight" activeCell="L1" sqref="L1"/>
      <selection pane="bottomLeft" activeCell="A2" sqref="A2"/>
      <selection pane="bottomRight" activeCell="AC42" sqref="AC42"/>
    </sheetView>
  </sheetViews>
  <sheetFormatPr defaultRowHeight="16.5"/>
  <cols>
    <col min="1" max="1" width="10.625" style="3" customWidth="1"/>
    <col min="2" max="2" width="58.125" style="3" customWidth="1"/>
    <col min="3" max="4" width="10.625" style="3" customWidth="1"/>
    <col min="5" max="9" width="12.625" style="3" customWidth="1"/>
    <col min="10" max="10" width="6.125" style="3" customWidth="1"/>
    <col min="11" max="13" width="0.5" style="3" customWidth="1"/>
    <col min="14" max="14" width="15.75" customWidth="1"/>
    <col min="15" max="15" width="6.25" customWidth="1"/>
    <col min="16" max="16" width="7.375" customWidth="1"/>
    <col min="17" max="17" width="6.25" customWidth="1"/>
    <col min="18" max="18" width="6.5" customWidth="1"/>
    <col min="19" max="19" width="7.625" customWidth="1"/>
    <col min="20" max="22" width="6.25" customWidth="1"/>
    <col min="23" max="23" width="6.25" hidden="1" customWidth="1"/>
    <col min="24" max="24" width="6.5" hidden="1" customWidth="1"/>
    <col min="25" max="25" width="10.75" hidden="1" customWidth="1"/>
    <col min="26" max="26" width="0.875" customWidth="1"/>
    <col min="27" max="27" width="9.125" style="110" hidden="1" customWidth="1"/>
    <col min="28" max="28" width="17.5" bestFit="1" customWidth="1"/>
    <col min="29" max="29" width="21.75" bestFit="1" customWidth="1"/>
    <col min="30" max="30" width="8.75" customWidth="1"/>
  </cols>
  <sheetData>
    <row r="1" spans="1:31" ht="27.95" customHeight="1" thickBot="1">
      <c r="A1" s="307" t="s">
        <v>2522</v>
      </c>
      <c r="B1" s="308" t="s">
        <v>2527</v>
      </c>
      <c r="C1" s="309">
        <v>25</v>
      </c>
      <c r="D1" s="1"/>
      <c r="E1" s="1"/>
      <c r="F1" s="1"/>
      <c r="G1" s="20"/>
      <c r="H1" s="1"/>
      <c r="I1" s="1"/>
      <c r="J1" s="2"/>
      <c r="N1" s="244"/>
      <c r="O1" s="153">
        <v>0</v>
      </c>
      <c r="P1" s="154">
        <v>0</v>
      </c>
      <c r="Q1" s="154">
        <v>1</v>
      </c>
      <c r="R1" s="154">
        <v>1</v>
      </c>
      <c r="S1" s="155">
        <v>0</v>
      </c>
      <c r="T1" s="156" t="str">
        <f>"    合計 " &amp; SUM(O1:S1) &amp; " 分    "</f>
        <v xml:space="preserve">    合計 2 分    </v>
      </c>
      <c r="U1" s="156"/>
      <c r="V1" s="156"/>
      <c r="W1" s="261"/>
      <c r="X1" s="262"/>
      <c r="Y1" s="263"/>
      <c r="Z1" s="3"/>
      <c r="AA1" s="130" t="s">
        <v>1139</v>
      </c>
      <c r="AB1" s="133"/>
      <c r="AC1" s="134"/>
      <c r="AD1" s="135"/>
    </row>
    <row r="2" spans="1:31" ht="20.25" thickBot="1">
      <c r="A2" s="4"/>
      <c r="B2" s="5"/>
      <c r="C2" s="5"/>
      <c r="D2" s="5"/>
      <c r="E2" s="5"/>
      <c r="F2" s="5"/>
      <c r="G2" s="5"/>
      <c r="H2" s="5"/>
      <c r="I2" s="5"/>
      <c r="J2" s="6"/>
      <c r="N2" s="146" t="s">
        <v>0</v>
      </c>
      <c r="O2" s="207" t="s">
        <v>1</v>
      </c>
      <c r="P2" s="208" t="s">
        <v>2</v>
      </c>
      <c r="Q2" s="208" t="s">
        <v>3</v>
      </c>
      <c r="R2" s="208" t="s">
        <v>4</v>
      </c>
      <c r="S2" s="208" t="s">
        <v>5</v>
      </c>
      <c r="T2" s="208" t="s">
        <v>6</v>
      </c>
      <c r="U2" s="208" t="s">
        <v>7</v>
      </c>
      <c r="V2" s="209" t="s">
        <v>8</v>
      </c>
      <c r="W2" s="273" t="s">
        <v>9</v>
      </c>
      <c r="X2" s="274"/>
      <c r="Y2" s="2"/>
      <c r="Z2" s="3"/>
      <c r="AA2" s="111">
        <v>1570</v>
      </c>
      <c r="AB2" s="131" t="s">
        <v>2510</v>
      </c>
      <c r="AC2" s="132">
        <v>4345000</v>
      </c>
      <c r="AD2" s="131"/>
      <c r="AE2">
        <f>(1.18/3)*4</f>
        <v>1.5733333333333333</v>
      </c>
    </row>
    <row r="3" spans="1:31">
      <c r="A3" s="7"/>
      <c r="B3" s="8"/>
      <c r="C3" s="9"/>
      <c r="D3" s="9"/>
      <c r="E3" s="8"/>
      <c r="F3" s="8"/>
      <c r="G3" s="8"/>
      <c r="H3" s="8"/>
      <c r="I3" s="8"/>
      <c r="J3" s="10"/>
      <c r="N3" s="147" t="s">
        <v>258</v>
      </c>
      <c r="O3" s="210">
        <f>VLOOKUP("營業收入淨額",$B$40:$L$500,9,0)</f>
        <v>4995</v>
      </c>
      <c r="P3" s="157">
        <f>VLOOKUP("營業收入淨額",$B$40:$L$500,8,0)</f>
        <v>4936</v>
      </c>
      <c r="Q3" s="157">
        <f>VLOOKUP("營業收入淨額",$B$40:$L$500,7,0)</f>
        <v>4900</v>
      </c>
      <c r="R3" s="157">
        <f>VLOOKUP("營業收入淨額",$B$40:$L$500,6,0)</f>
        <v>5081</v>
      </c>
      <c r="S3" s="157">
        <f>VLOOKUP("營業收入淨額",$B$40:$L$500,5,0)</f>
        <v>5038</v>
      </c>
      <c r="T3" s="157">
        <f>VLOOKUP("營業收入淨額",$B$40:$L$500,4,0)</f>
        <v>5126</v>
      </c>
      <c r="U3" s="157">
        <f>VLOOKUP("營業收入淨額",$B$40:$L$500,3,0)</f>
        <v>4550</v>
      </c>
      <c r="V3" s="211">
        <f>VLOOKUP("營業收入淨額",$B$40:$L$500,2,0)</f>
        <v>4345</v>
      </c>
      <c r="W3" s="50">
        <f>MAX(O3:V3)</f>
        <v>5126</v>
      </c>
      <c r="X3" s="1"/>
      <c r="Y3" s="2"/>
      <c r="Z3" s="3"/>
      <c r="AA3" s="111">
        <v>2108</v>
      </c>
      <c r="AB3" s="125" t="s">
        <v>2511</v>
      </c>
      <c r="AC3" s="126">
        <v>5028017</v>
      </c>
      <c r="AD3" s="125"/>
    </row>
    <row r="4" spans="1:31">
      <c r="A4" s="7"/>
      <c r="B4" s="9"/>
      <c r="C4" s="9"/>
      <c r="D4" s="9"/>
      <c r="E4" s="9"/>
      <c r="F4" s="9"/>
      <c r="G4" s="9"/>
      <c r="H4" s="9"/>
      <c r="I4" s="9"/>
      <c r="J4" s="10"/>
      <c r="N4" s="148" t="s">
        <v>11</v>
      </c>
      <c r="O4" s="210">
        <f>VLOOKUP("營業成本",$B$40:$L$500,9,0)</f>
        <v>4300</v>
      </c>
      <c r="P4" s="157">
        <f>VLOOKUP("營業成本",$B$40:$L$500,8,0)</f>
        <v>4308</v>
      </c>
      <c r="Q4" s="157">
        <f>VLOOKUP("營業成本",$B$40:$L$500,7,0)</f>
        <v>4330</v>
      </c>
      <c r="R4" s="157">
        <f>VLOOKUP("營業成本",$B$40:$L$500,6,0)</f>
        <v>4526</v>
      </c>
      <c r="S4" s="157">
        <f>VLOOKUP("營業成本",$B$40:$L$500,5,0)</f>
        <v>4541</v>
      </c>
      <c r="T4" s="157">
        <f>VLOOKUP("營業成本",$B$40:$L$500,4,0)</f>
        <v>4563</v>
      </c>
      <c r="U4" s="157">
        <f>VLOOKUP("營業成本",$B$40:$L$500,3,0)</f>
        <v>4036</v>
      </c>
      <c r="V4" s="211">
        <f>VLOOKUP("營業成本",$B$40:$L$500,2,0)</f>
        <v>3875</v>
      </c>
      <c r="W4" s="11"/>
      <c r="X4" s="12"/>
      <c r="Y4" s="13"/>
      <c r="Z4" s="3"/>
      <c r="AA4" s="111">
        <v>2313</v>
      </c>
      <c r="AB4" s="125" t="s">
        <v>2512</v>
      </c>
      <c r="AC4" s="126">
        <v>683017</v>
      </c>
      <c r="AD4" s="125" t="s">
        <v>2509</v>
      </c>
      <c r="AE4" s="120"/>
    </row>
    <row r="5" spans="1:31">
      <c r="A5" s="7"/>
      <c r="B5" s="8"/>
      <c r="C5" s="9"/>
      <c r="D5" s="9"/>
      <c r="E5" s="8"/>
      <c r="F5" s="8"/>
      <c r="G5" s="8"/>
      <c r="H5" s="8"/>
      <c r="I5" s="8"/>
      <c r="J5" s="10"/>
      <c r="N5" s="148" t="s">
        <v>260</v>
      </c>
      <c r="O5" s="210">
        <f>VLOOKUP("營業利益",$B$40:$L$500,9,0)</f>
        <v>373</v>
      </c>
      <c r="P5" s="157">
        <f>VLOOKUP("營業利益",$B$40:$L$500,8,0)</f>
        <v>267</v>
      </c>
      <c r="Q5" s="157">
        <f>VLOOKUP("營業利益",$B$40:$L$500,7,0)</f>
        <v>237</v>
      </c>
      <c r="R5" s="157">
        <f>VLOOKUP("營業利益",$B$40:$L$500,6,0)</f>
        <v>251</v>
      </c>
      <c r="S5" s="157">
        <f>VLOOKUP("營業利益",$B$40:$L$500,5,0)</f>
        <v>175</v>
      </c>
      <c r="T5" s="157">
        <f>VLOOKUP("營業利益",$B$40:$L$500,4,0)</f>
        <v>251</v>
      </c>
      <c r="U5" s="157">
        <f>VLOOKUP("營業利益",$B$40:$L$500,3,0)</f>
        <v>242</v>
      </c>
      <c r="V5" s="211">
        <f>VLOOKUP("營業利益",$B$40:$L$500,2,0)</f>
        <v>159</v>
      </c>
      <c r="W5" s="11"/>
      <c r="X5" s="12"/>
      <c r="Y5" s="13"/>
      <c r="Z5" s="3"/>
      <c r="AA5" s="112">
        <v>2329</v>
      </c>
      <c r="AB5" s="125" t="s">
        <v>2513</v>
      </c>
      <c r="AC5" s="127">
        <v>-7.8399999999999997E-2</v>
      </c>
      <c r="AD5" s="125"/>
    </row>
    <row r="6" spans="1:31">
      <c r="A6" s="7"/>
      <c r="B6" s="9"/>
      <c r="C6" s="9"/>
      <c r="D6" s="9"/>
      <c r="E6" s="9"/>
      <c r="F6" s="9"/>
      <c r="G6" s="9"/>
      <c r="H6" s="9"/>
      <c r="I6" s="9"/>
      <c r="J6" s="10"/>
      <c r="N6" s="148" t="s">
        <v>12</v>
      </c>
      <c r="O6" s="210">
        <f>VLOOKUP("營業外收入合計",$B$40:$L$500,9,0)</f>
        <v>54</v>
      </c>
      <c r="P6" s="157">
        <f>VLOOKUP("營業外收入合計",$B$40:$L$500,8,0)</f>
        <v>309</v>
      </c>
      <c r="Q6" s="157">
        <f>VLOOKUP("營業外收入合計",$B$40:$L$500,7,0)</f>
        <v>68</v>
      </c>
      <c r="R6" s="157">
        <f>VLOOKUP("營業外收入合計",$B$40:$L$500,6,0)</f>
        <v>-29</v>
      </c>
      <c r="S6" s="157">
        <f>VLOOKUP("營業外收入合計",$B$40:$L$500,5,0)</f>
        <v>34</v>
      </c>
      <c r="T6" s="157">
        <f>VLOOKUP("營業外收入合計",$B$40:$L$500,4,0)</f>
        <v>200</v>
      </c>
      <c r="U6" s="157">
        <f>VLOOKUP("營業外收入合計",$B$40:$L$500,3,0)</f>
        <v>12</v>
      </c>
      <c r="V6" s="211">
        <f>VLOOKUP("營業外收入合計",$B$40:$L$500,2,0)</f>
        <v>-5</v>
      </c>
      <c r="W6" s="11"/>
      <c r="X6" s="12"/>
      <c r="Y6" s="13"/>
      <c r="Z6" s="3"/>
      <c r="AA6" s="111">
        <v>2344</v>
      </c>
      <c r="AB6" s="127" t="s">
        <v>2514</v>
      </c>
      <c r="AC6" s="127">
        <v>3.6593785960874599E-2</v>
      </c>
      <c r="AD6" s="125"/>
    </row>
    <row r="7" spans="1:31">
      <c r="A7" s="7"/>
      <c r="B7" s="8"/>
      <c r="C7" s="9"/>
      <c r="D7" s="9"/>
      <c r="E7" s="8"/>
      <c r="F7" s="8"/>
      <c r="G7" s="8"/>
      <c r="H7" s="8"/>
      <c r="I7" s="8"/>
      <c r="J7" s="10"/>
      <c r="N7" s="148" t="s">
        <v>231</v>
      </c>
      <c r="O7" s="210">
        <f>VLOOKUP("稅前淨利",$B$40:$L$500,9,0)</f>
        <v>400</v>
      </c>
      <c r="P7" s="157">
        <f>VLOOKUP("稅前淨利",$B$40:$L$500,8,0)</f>
        <v>308</v>
      </c>
      <c r="Q7" s="157">
        <f>VLOOKUP("稅前淨利",$B$40:$L$500,7,0)</f>
        <v>231</v>
      </c>
      <c r="R7" s="157">
        <f>VLOOKUP("稅前淨利",$B$40:$L$500,6,0)</f>
        <v>234</v>
      </c>
      <c r="S7" s="157">
        <f>VLOOKUP("稅前淨利",$B$40:$L$500,5,0)</f>
        <v>184</v>
      </c>
      <c r="T7" s="157">
        <f>VLOOKUP("稅前淨利",$B$40:$L$500,4,0)</f>
        <v>281</v>
      </c>
      <c r="U7" s="157">
        <f>VLOOKUP("稅前淨利",$B$40:$L$500,3,0)</f>
        <v>206</v>
      </c>
      <c r="V7" s="211">
        <f>VLOOKUP("稅前淨利",$B$40:$L$500,2,0)</f>
        <v>149</v>
      </c>
      <c r="W7" s="11"/>
      <c r="X7" s="12"/>
      <c r="Y7" s="13"/>
      <c r="Z7" s="3"/>
      <c r="AA7" s="111">
        <v>2397</v>
      </c>
      <c r="AB7" s="125" t="s">
        <v>2515</v>
      </c>
      <c r="AC7" s="127">
        <v>1.0671140939597299</v>
      </c>
      <c r="AD7" s="125"/>
    </row>
    <row r="8" spans="1:31">
      <c r="A8" s="7"/>
      <c r="B8" s="9"/>
      <c r="C8" s="9"/>
      <c r="D8" s="9"/>
      <c r="E8" s="9"/>
      <c r="F8" s="9"/>
      <c r="G8" s="9"/>
      <c r="H8" s="9"/>
      <c r="I8" s="9"/>
      <c r="J8" s="10"/>
      <c r="N8" s="148" t="s">
        <v>13</v>
      </c>
      <c r="O8" s="210">
        <f>VLOOKUP("本期稅後淨利",$B$40:$L$500,9,0)</f>
        <v>251</v>
      </c>
      <c r="P8" s="157">
        <f>VLOOKUP("本期稅後淨利",$B$40:$L$500,8,0)</f>
        <v>184</v>
      </c>
      <c r="Q8" s="157">
        <f>VLOOKUP("本期稅後淨利",$B$40:$L$500,7,0)</f>
        <v>144</v>
      </c>
      <c r="R8" s="157">
        <f>VLOOKUP("本期稅後淨利",$B$40:$L$500,6,0)</f>
        <v>137</v>
      </c>
      <c r="S8" s="157">
        <f>VLOOKUP("本期稅後淨利",$B$40:$L$500,5,0)</f>
        <v>99</v>
      </c>
      <c r="T8" s="157">
        <f>VLOOKUP("本期稅後淨利",$B$40:$L$500,4,0)</f>
        <v>149</v>
      </c>
      <c r="U8" s="157">
        <f>VLOOKUP("本期稅後淨利",$B$40:$L$500,3,0)</f>
        <v>120</v>
      </c>
      <c r="V8" s="211">
        <f>VLOOKUP("本期稅後淨利",$B$40:$L$500,2,0)</f>
        <v>71</v>
      </c>
      <c r="W8" s="11"/>
      <c r="X8" s="12"/>
      <c r="Y8" s="13"/>
      <c r="Z8" s="3"/>
      <c r="AA8" s="111">
        <v>2433</v>
      </c>
      <c r="AB8" s="125" t="s">
        <v>2516</v>
      </c>
      <c r="AC8" s="126">
        <v>318000000</v>
      </c>
      <c r="AD8" s="125" t="s">
        <v>2531</v>
      </c>
    </row>
    <row r="9" spans="1:31">
      <c r="A9" s="7"/>
      <c r="B9" s="8"/>
      <c r="C9" s="9"/>
      <c r="D9" s="9"/>
      <c r="E9" s="8"/>
      <c r="F9" s="8"/>
      <c r="G9" s="8"/>
      <c r="H9" s="8"/>
      <c r="I9" s="8"/>
      <c r="J9" s="10"/>
      <c r="N9" s="148" t="s">
        <v>14</v>
      </c>
      <c r="O9" s="210">
        <f>VLOOKUP("每股盈餘 (元)",$B$40:$L$500,9,0)</f>
        <v>0.77</v>
      </c>
      <c r="P9" s="157">
        <f>VLOOKUP("每股盈餘 (元)",$B$40:$L$500,8,0)</f>
        <v>0.56999999999999995</v>
      </c>
      <c r="Q9" s="157">
        <f>VLOOKUP("每股盈餘 (元)",$B$40:$L$500,7,0)</f>
        <v>0.44</v>
      </c>
      <c r="R9" s="157">
        <f>VLOOKUP("每股盈餘 (元)",$B$40:$L$500,6,0)</f>
        <v>0.42</v>
      </c>
      <c r="S9" s="157">
        <f>VLOOKUP("每股盈餘 (元)",$B$40:$L$500,5,0)</f>
        <v>0.3</v>
      </c>
      <c r="T9" s="157">
        <f>VLOOKUP("每股盈餘 (元)",$B$40:$L$500,4,0)</f>
        <v>0.46</v>
      </c>
      <c r="U9" s="157">
        <f>VLOOKUP("每股盈餘 (元)",$B$40:$L$500,3,0)</f>
        <v>0.38</v>
      </c>
      <c r="V9" s="211">
        <f>VLOOKUP("每股盈餘 (元)",$B$40:$L$500,2,0)</f>
        <v>0.23</v>
      </c>
      <c r="W9" s="11">
        <f>MAX(R9:V9)</f>
        <v>0.46</v>
      </c>
      <c r="X9" s="12"/>
      <c r="Y9" s="13"/>
      <c r="Z9" s="3"/>
      <c r="AA9" s="111">
        <v>2637</v>
      </c>
      <c r="AB9" s="125" t="s">
        <v>2517</v>
      </c>
      <c r="AC9" s="128">
        <v>0.25</v>
      </c>
      <c r="AD9" s="143">
        <v>-0.02</v>
      </c>
    </row>
    <row r="10" spans="1:31">
      <c r="A10" s="7"/>
      <c r="B10" s="9"/>
      <c r="C10" s="9"/>
      <c r="D10" s="9"/>
      <c r="E10" s="9"/>
      <c r="F10" s="9"/>
      <c r="G10" s="9"/>
      <c r="H10" s="9"/>
      <c r="I10" s="9"/>
      <c r="J10" s="10"/>
      <c r="N10" s="148" t="s">
        <v>259</v>
      </c>
      <c r="O10" s="210">
        <f>VLOOKUP(" 應收帳款及票據",$B$40:$L$500,9,0)</f>
        <v>6977</v>
      </c>
      <c r="P10" s="157">
        <f>VLOOKUP(" 應收帳款及票據",$B$40:$L$500,8,0)</f>
        <v>7055</v>
      </c>
      <c r="Q10" s="157">
        <f>VLOOKUP(" 應收帳款及票據",$B$40:$L$500,7,0)</f>
        <v>7339</v>
      </c>
      <c r="R10" s="157">
        <f>VLOOKUP(" 應收帳款及票據",$B$40:$L$500,6,0)</f>
        <v>6879</v>
      </c>
      <c r="S10" s="157">
        <f>VLOOKUP(" 應收帳款及票據",$B$40:$L$500,5,0)</f>
        <v>7318</v>
      </c>
      <c r="T10" s="157">
        <f>VLOOKUP(" 應收帳款及票據",$B$40:$L$500,4,0)</f>
        <v>7604</v>
      </c>
      <c r="U10" s="157">
        <f>VLOOKUP(" 應收帳款及票據",$B$40:$L$500,3,0)</f>
        <v>7836</v>
      </c>
      <c r="V10" s="211">
        <f>VLOOKUP(" 應收帳款及票據",$B$40:$L$500,2,0)</f>
        <v>6425</v>
      </c>
      <c r="W10" s="11"/>
      <c r="X10" s="12"/>
      <c r="Y10" s="13"/>
      <c r="Z10" s="3"/>
      <c r="AA10" s="111">
        <v>3023</v>
      </c>
      <c r="AB10" s="125" t="s">
        <v>2518</v>
      </c>
      <c r="AC10" s="128">
        <v>0.33</v>
      </c>
      <c r="AD10" s="125"/>
    </row>
    <row r="11" spans="1:31">
      <c r="A11" s="7"/>
      <c r="B11" s="8"/>
      <c r="C11" s="9"/>
      <c r="D11" s="9"/>
      <c r="E11" s="8"/>
      <c r="F11" s="8"/>
      <c r="G11" s="8"/>
      <c r="H11" s="8"/>
      <c r="I11" s="8"/>
      <c r="J11" s="10"/>
      <c r="N11" s="148" t="s">
        <v>15</v>
      </c>
      <c r="O11" s="210">
        <f>VLOOKUP(" 存貨",$B$40:$L$500,9,0)</f>
        <v>1178</v>
      </c>
      <c r="P11" s="157">
        <f>VLOOKUP(" 存貨",$B$40:$L$500,8,0)</f>
        <v>926</v>
      </c>
      <c r="Q11" s="157">
        <f>VLOOKUP(" 存貨",$B$40:$L$500,7,0)</f>
        <v>1214</v>
      </c>
      <c r="R11" s="157">
        <f>VLOOKUP(" 存貨",$B$40:$L$500,6,0)</f>
        <v>965</v>
      </c>
      <c r="S11" s="157">
        <f>VLOOKUP(" 存貨",$B$40:$L$500,5,0)</f>
        <v>1167</v>
      </c>
      <c r="T11" s="157">
        <f>VLOOKUP(" 存貨",$B$40:$L$500,4,0)</f>
        <v>1013</v>
      </c>
      <c r="U11" s="157">
        <f>VLOOKUP(" 存貨",$B$40:$L$500,3,0)</f>
        <v>943</v>
      </c>
      <c r="V11" s="211">
        <f>VLOOKUP(" 存貨",$B$40:$L$500,2,0)</f>
        <v>913</v>
      </c>
      <c r="W11" s="11"/>
      <c r="X11" s="12"/>
      <c r="Y11" s="13"/>
      <c r="Z11" s="3"/>
      <c r="AA11" s="111">
        <v>3499</v>
      </c>
      <c r="AB11" s="125" t="s">
        <v>2519</v>
      </c>
      <c r="AC11" s="128">
        <v>1.27</v>
      </c>
      <c r="AD11" s="143">
        <v>1.2152684375647875</v>
      </c>
    </row>
    <row r="12" spans="1:31">
      <c r="A12" s="7"/>
      <c r="B12" s="9"/>
      <c r="C12" s="9"/>
      <c r="D12" s="9"/>
      <c r="E12" s="9"/>
      <c r="F12" s="9"/>
      <c r="G12" s="9"/>
      <c r="H12" s="9"/>
      <c r="I12" s="9"/>
      <c r="J12" s="10"/>
      <c r="N12" s="148" t="s">
        <v>16</v>
      </c>
      <c r="O12" s="210">
        <f>VLOOKUP(" 應付帳款及票據",$B$40:$L$500,9,0)</f>
        <v>5022</v>
      </c>
      <c r="P12" s="157">
        <f>VLOOKUP(" 應付帳款及票據",$B$40:$L$500,8,0)</f>
        <v>4855</v>
      </c>
      <c r="Q12" s="157">
        <f>VLOOKUP(" 應付帳款及票據",$B$40:$L$500,7,0)</f>
        <v>5179</v>
      </c>
      <c r="R12" s="157">
        <f>VLOOKUP(" 應付帳款及票據",$B$40:$L$500,6,0)</f>
        <v>4539</v>
      </c>
      <c r="S12" s="157">
        <f>VLOOKUP(" 應付帳款及票據",$B$40:$L$500,5,0)</f>
        <v>5071</v>
      </c>
      <c r="T12" s="157">
        <f>VLOOKUP(" 應付帳款及票據",$B$40:$L$500,4,0)</f>
        <v>4950</v>
      </c>
      <c r="U12" s="157">
        <f>VLOOKUP(" 應付帳款及票據",$B$40:$L$500,3,0)</f>
        <v>4434</v>
      </c>
      <c r="V12" s="211">
        <f>VLOOKUP(" 應付帳款及票據",$B$40:$L$500,2,0)</f>
        <v>3582</v>
      </c>
      <c r="W12" s="11"/>
      <c r="X12" s="12"/>
      <c r="Y12" s="13"/>
      <c r="Z12" s="3"/>
      <c r="AA12" s="111">
        <v>4935</v>
      </c>
      <c r="AB12" s="125" t="s">
        <v>2520</v>
      </c>
      <c r="AC12" s="128">
        <v>18.39</v>
      </c>
      <c r="AD12" s="143">
        <v>19.21</v>
      </c>
    </row>
    <row r="13" spans="1:31">
      <c r="A13" s="7"/>
      <c r="B13" s="9"/>
      <c r="C13" s="9"/>
      <c r="D13" s="9"/>
      <c r="E13" s="9"/>
      <c r="F13" s="9"/>
      <c r="G13" s="9"/>
      <c r="H13" s="9"/>
      <c r="I13" s="9"/>
      <c r="J13" s="10"/>
      <c r="N13" s="148" t="s">
        <v>17</v>
      </c>
      <c r="O13" s="210">
        <f>VLOOKUP("負債總額",$B$40:$L$500,9,0)</f>
        <v>9468</v>
      </c>
      <c r="P13" s="157">
        <f>VLOOKUP("負債總額",$B$40:$L$500,8,0)</f>
        <v>8983</v>
      </c>
      <c r="Q13" s="157">
        <f>VLOOKUP("負債總額",$B$40:$L$500,7,0)</f>
        <v>9691</v>
      </c>
      <c r="R13" s="157">
        <f>VLOOKUP("負債總額",$B$40:$L$500,6,0)</f>
        <v>9665</v>
      </c>
      <c r="S13" s="157">
        <f>VLOOKUP("負債總額",$B$40:$L$500,5,0)</f>
        <v>10290</v>
      </c>
      <c r="T13" s="157">
        <f>VLOOKUP("負債總額",$B$40:$L$500,4,0)</f>
        <v>10396</v>
      </c>
      <c r="U13" s="157">
        <f>VLOOKUP("負債總額",$B$40:$L$500,3,0)</f>
        <v>9879</v>
      </c>
      <c r="V13" s="211">
        <f>VLOOKUP("負債總額",$B$40:$L$500,2,0)</f>
        <v>9416</v>
      </c>
      <c r="W13" s="11"/>
      <c r="X13" s="12"/>
      <c r="Y13" s="13"/>
      <c r="Z13" s="3"/>
      <c r="AA13" s="111">
        <v>5315</v>
      </c>
      <c r="AB13" s="125" t="s">
        <v>2505</v>
      </c>
      <c r="AC13" s="126">
        <v>7425300000</v>
      </c>
      <c r="AD13" s="125"/>
    </row>
    <row r="14" spans="1:31">
      <c r="A14" s="7"/>
      <c r="B14" s="9"/>
      <c r="C14" s="9"/>
      <c r="D14" s="9"/>
      <c r="E14" s="9"/>
      <c r="F14" s="9"/>
      <c r="G14" s="9"/>
      <c r="H14" s="9"/>
      <c r="I14" s="9"/>
      <c r="J14" s="10"/>
      <c r="N14" s="148" t="s">
        <v>18</v>
      </c>
      <c r="O14" s="210">
        <f>VLOOKUP("資產總額",$B$40:$L$500,9,0)</f>
        <v>16170</v>
      </c>
      <c r="P14" s="157">
        <f>VLOOKUP("資產總額",$B$40:$L$500,8,0)</f>
        <v>16076</v>
      </c>
      <c r="Q14" s="157">
        <f>VLOOKUP("資產總額",$B$40:$L$500,7,0)</f>
        <v>17095</v>
      </c>
      <c r="R14" s="157">
        <f>VLOOKUP("資產總額",$B$40:$L$500,6,0)</f>
        <v>16355</v>
      </c>
      <c r="S14" s="157">
        <f>VLOOKUP("資產總額",$B$40:$L$500,5,0)</f>
        <v>17124</v>
      </c>
      <c r="T14" s="157">
        <f>VLOOKUP("資產總額",$B$40:$L$500,4,0)</f>
        <v>17482</v>
      </c>
      <c r="U14" s="157">
        <f>VLOOKUP("資產總額",$B$40:$L$500,3,0)</f>
        <v>16963</v>
      </c>
      <c r="V14" s="211">
        <f>VLOOKUP("資產總額",$B$40:$L$500,2,0)</f>
        <v>15955</v>
      </c>
      <c r="W14" s="11"/>
      <c r="X14" s="12"/>
      <c r="Y14" s="13"/>
      <c r="Z14" s="3"/>
      <c r="AA14" s="111">
        <v>8049</v>
      </c>
      <c r="AB14" s="125" t="s">
        <v>2506</v>
      </c>
      <c r="AC14" s="126">
        <f>SUM(P63:P74)*1000</f>
        <v>18987368000</v>
      </c>
      <c r="AD14" s="125"/>
    </row>
    <row r="15" spans="1:31">
      <c r="A15" s="7"/>
      <c r="B15" s="8"/>
      <c r="C15" s="9"/>
      <c r="D15" s="9"/>
      <c r="E15" s="8"/>
      <c r="F15" s="8"/>
      <c r="G15" s="8"/>
      <c r="H15" s="8"/>
      <c r="I15" s="8"/>
      <c r="J15" s="10"/>
      <c r="N15" s="148" t="s">
        <v>19</v>
      </c>
      <c r="O15" s="210">
        <f>VLOOKUP("來自營運之現金流量",$B$40:$L$500,9,0)</f>
        <v>264</v>
      </c>
      <c r="P15" s="157">
        <f>VLOOKUP("來自營運之現金流量",$B$40:$L$500,8,0)</f>
        <v>419</v>
      </c>
      <c r="Q15" s="157">
        <f>VLOOKUP("來自營運之現金流量",$B$40:$L$500,7,0)</f>
        <v>6</v>
      </c>
      <c r="R15" s="157">
        <f>VLOOKUP("來自營運之現金流量",$B$40:$L$500,6,0)</f>
        <v>-22</v>
      </c>
      <c r="S15" s="157">
        <f>VLOOKUP("來自營運之現金流量",$B$40:$L$500,5,0)</f>
        <v>328</v>
      </c>
      <c r="T15" s="157">
        <f>VLOOKUP("來自營運之現金流量",$B$40:$L$500,4,0)</f>
        <v>287</v>
      </c>
      <c r="U15" s="157">
        <f>VLOOKUP("來自營運之現金流量",$B$40:$L$500,3,0)</f>
        <v>-363</v>
      </c>
      <c r="V15" s="211">
        <f>VLOOKUP("來自營運之現金流量",$B$40:$L$500,2,0)</f>
        <v>677</v>
      </c>
      <c r="W15" s="14">
        <f>AVERAGE(R15:V15)</f>
        <v>181.4</v>
      </c>
      <c r="X15" s="15">
        <f>AVERAGE(U15:V15)</f>
        <v>157</v>
      </c>
      <c r="Y15" s="13"/>
      <c r="Z15" s="3"/>
      <c r="AA15" s="111">
        <v>2345</v>
      </c>
      <c r="AB15" s="125" t="s">
        <v>2507</v>
      </c>
      <c r="AC15" s="129">
        <f>ROUND((AC13/AC14),2)</f>
        <v>0.39</v>
      </c>
      <c r="AD15" s="125" t="s">
        <v>2521</v>
      </c>
    </row>
    <row r="16" spans="1:31" ht="17.25" thickBot="1">
      <c r="A16" s="7"/>
      <c r="B16" s="9"/>
      <c r="C16" s="9"/>
      <c r="D16" s="9"/>
      <c r="E16" s="9"/>
      <c r="F16" s="9"/>
      <c r="G16" s="9"/>
      <c r="H16" s="9"/>
      <c r="I16" s="9"/>
      <c r="J16" s="10"/>
      <c r="N16" s="148" t="s">
        <v>20</v>
      </c>
      <c r="O16" s="210">
        <v>198</v>
      </c>
      <c r="P16" s="157">
        <v>262</v>
      </c>
      <c r="Q16" s="157">
        <v>331</v>
      </c>
      <c r="R16" s="157">
        <v>508</v>
      </c>
      <c r="S16" s="157">
        <v>112</v>
      </c>
      <c r="T16" s="157">
        <v>61</v>
      </c>
      <c r="U16" s="157">
        <v>33</v>
      </c>
      <c r="V16" s="211">
        <v>25</v>
      </c>
      <c r="W16" s="14">
        <f>MAX(O16:V16)</f>
        <v>508</v>
      </c>
      <c r="X16" s="15">
        <f>AVERAGE(U16:V16)</f>
        <v>29</v>
      </c>
      <c r="Y16" s="13"/>
      <c r="Z16" s="3"/>
      <c r="AA16" s="111">
        <v>5536</v>
      </c>
      <c r="AB16" s="236" t="s">
        <v>2508</v>
      </c>
      <c r="AC16" s="237" t="s">
        <v>2532</v>
      </c>
      <c r="AD16" s="236" t="s">
        <v>2509</v>
      </c>
    </row>
    <row r="17" spans="1:30">
      <c r="A17" s="7"/>
      <c r="B17" s="8"/>
      <c r="C17" s="9"/>
      <c r="D17" s="9"/>
      <c r="E17" s="8"/>
      <c r="F17" s="8"/>
      <c r="G17" s="8"/>
      <c r="H17" s="8"/>
      <c r="I17" s="8"/>
      <c r="J17" s="10"/>
      <c r="N17" s="148" t="s">
        <v>21</v>
      </c>
      <c r="O17" s="210">
        <v>0</v>
      </c>
      <c r="P17" s="157">
        <v>0</v>
      </c>
      <c r="Q17" s="157">
        <v>0</v>
      </c>
      <c r="R17" s="157">
        <v>0</v>
      </c>
      <c r="S17" s="157">
        <v>0</v>
      </c>
      <c r="T17" s="157">
        <v>0</v>
      </c>
      <c r="U17" s="157">
        <v>0</v>
      </c>
      <c r="V17" s="211">
        <v>0</v>
      </c>
      <c r="W17" s="11"/>
      <c r="X17" s="12"/>
      <c r="Y17" s="13"/>
      <c r="Z17" s="3"/>
      <c r="AA17" s="235">
        <v>2329</v>
      </c>
      <c r="AB17" s="50"/>
      <c r="AC17" s="238"/>
      <c r="AD17" s="2"/>
    </row>
    <row r="18" spans="1:30">
      <c r="A18" s="7"/>
      <c r="B18" s="9"/>
      <c r="C18" s="9"/>
      <c r="D18" s="9"/>
      <c r="E18" s="9"/>
      <c r="F18" s="9"/>
      <c r="G18" s="9"/>
      <c r="H18" s="9"/>
      <c r="I18" s="9"/>
      <c r="J18" s="10"/>
      <c r="N18" s="148" t="s">
        <v>22</v>
      </c>
      <c r="O18" s="210">
        <f>VLOOKUP(" 折舊",$B$40:$L$500,9,0)</f>
        <v>136</v>
      </c>
      <c r="P18" s="157">
        <f>VLOOKUP(" 折舊",$B$40:$L$500,8,0)</f>
        <v>126</v>
      </c>
      <c r="Q18" s="157">
        <f>VLOOKUP(" 折舊",$B$40:$L$500,7,0)</f>
        <v>137</v>
      </c>
      <c r="R18" s="157">
        <f>VLOOKUP(" 折舊",$B$40:$L$500,6,0)</f>
        <v>161</v>
      </c>
      <c r="S18" s="157">
        <f>VLOOKUP(" 折舊",$B$40:$L$500,5,0)</f>
        <v>167</v>
      </c>
      <c r="T18" s="157">
        <f>VLOOKUP(" 折舊",$B$40:$L$500,4,0)</f>
        <v>181</v>
      </c>
      <c r="U18" s="157">
        <f>VLOOKUP(" 折舊",$B$40:$L$500,3,0)</f>
        <v>180</v>
      </c>
      <c r="V18" s="211">
        <f>VLOOKUP(" 折舊",$B$40:$L$500,2,0)</f>
        <v>177</v>
      </c>
      <c r="W18" s="11"/>
      <c r="X18" s="12"/>
      <c r="Y18" s="13"/>
      <c r="Z18" s="3"/>
      <c r="AA18" s="235"/>
      <c r="AB18" s="11"/>
      <c r="AC18" s="239"/>
      <c r="AD18" s="13"/>
    </row>
    <row r="19" spans="1:30">
      <c r="A19" s="7"/>
      <c r="B19" s="8"/>
      <c r="C19" s="9"/>
      <c r="D19" s="9"/>
      <c r="E19" s="8"/>
      <c r="F19" s="8"/>
      <c r="G19" s="8"/>
      <c r="H19" s="8"/>
      <c r="I19" s="8"/>
      <c r="J19" s="10"/>
      <c r="N19" s="148" t="s">
        <v>23</v>
      </c>
      <c r="O19" s="210">
        <f>VLOOKUP(" 攤提",$B$40:$L$500,9,0)</f>
        <v>3</v>
      </c>
      <c r="P19" s="157">
        <f>VLOOKUP(" 攤提",$B$40:$L$500,8,0)</f>
        <v>59</v>
      </c>
      <c r="Q19" s="157">
        <f>VLOOKUP(" 攤提",$B$40:$L$500,7,0)</f>
        <v>3</v>
      </c>
      <c r="R19" s="157">
        <f>VLOOKUP(" 攤提",$B$40:$L$500,6,0)</f>
        <v>3</v>
      </c>
      <c r="S19" s="157">
        <f>VLOOKUP(" 攤提",$B$40:$L$500,5,0)</f>
        <v>3</v>
      </c>
      <c r="T19" s="157">
        <f>VLOOKUP(" 攤提",$B$40:$L$500,4,0)</f>
        <v>73</v>
      </c>
      <c r="U19" s="157">
        <f>VLOOKUP(" 攤提",$B$40:$L$500,3,0)</f>
        <v>3</v>
      </c>
      <c r="V19" s="211">
        <f>VLOOKUP(" 攤提",$B$40:$L$500,2,0)</f>
        <v>3</v>
      </c>
      <c r="W19" s="11"/>
      <c r="X19" s="12"/>
      <c r="Y19" s="13"/>
      <c r="Z19" s="3"/>
      <c r="AA19" s="235"/>
      <c r="AB19" s="11"/>
      <c r="AC19" s="240"/>
      <c r="AD19" s="13"/>
    </row>
    <row r="20" spans="1:30">
      <c r="A20" s="7"/>
      <c r="B20" s="9"/>
      <c r="C20" s="9"/>
      <c r="D20" s="9"/>
      <c r="E20" s="9"/>
      <c r="F20" s="9"/>
      <c r="G20" s="9"/>
      <c r="H20" s="9"/>
      <c r="I20" s="9"/>
      <c r="J20" s="10"/>
      <c r="N20" s="149" t="s">
        <v>24</v>
      </c>
      <c r="O20" s="210">
        <f>VLOOKUP("股東權益總額",$B$40:$L$500,9,0)</f>
        <v>6702</v>
      </c>
      <c r="P20" s="157">
        <f>VLOOKUP("股東權益總額",$B$40:$L$500,8,0)</f>
        <v>7094</v>
      </c>
      <c r="Q20" s="157">
        <f>VLOOKUP("股東權益總額",$B$40:$L$500,7,0)</f>
        <v>7404</v>
      </c>
      <c r="R20" s="157">
        <f>VLOOKUP("股東權益總額",$B$40:$L$500,6,0)</f>
        <v>6690</v>
      </c>
      <c r="S20" s="157">
        <f>VLOOKUP("股東權益總額",$B$40:$L$500,5,0)</f>
        <v>6833</v>
      </c>
      <c r="T20" s="157">
        <f>VLOOKUP("股東權益總額",$B$40:$L$500,4,0)</f>
        <v>7086</v>
      </c>
      <c r="U20" s="157">
        <f>VLOOKUP("股東權益總額",$B$40:$L$500,3,0)</f>
        <v>7084</v>
      </c>
      <c r="V20" s="211">
        <f>VLOOKUP("股東權益總額",$B$40:$L$500,2,0)</f>
        <v>6539</v>
      </c>
      <c r="W20" s="11"/>
      <c r="X20" s="12"/>
      <c r="Y20" s="13"/>
      <c r="Z20" s="3"/>
      <c r="AA20" s="235"/>
      <c r="AB20" s="11"/>
      <c r="AC20" s="12"/>
      <c r="AD20" s="13"/>
    </row>
    <row r="21" spans="1:30" ht="17.25" thickBot="1">
      <c r="A21" s="7"/>
      <c r="B21" s="8"/>
      <c r="C21" s="9"/>
      <c r="D21" s="9"/>
      <c r="E21" s="8"/>
      <c r="F21" s="8"/>
      <c r="G21" s="8"/>
      <c r="H21" s="8"/>
      <c r="I21" s="8"/>
      <c r="J21" s="10"/>
      <c r="N21" s="152" t="s">
        <v>224</v>
      </c>
      <c r="O21" s="212">
        <f>VLOOKUP(" 普通股股本",$B$40:$L$500,9,0)</f>
        <v>3324</v>
      </c>
      <c r="P21" s="213">
        <f>VLOOKUP(" 普通股股本",$B$40:$L$500,8,0)</f>
        <v>3324</v>
      </c>
      <c r="Q21" s="213">
        <f>VLOOKUP(" 普通股股本",$B$40:$L$500,7,0)</f>
        <v>3324</v>
      </c>
      <c r="R21" s="213">
        <f>VLOOKUP(" 普通股股本",$B$40:$L$500,6,0)</f>
        <v>3324</v>
      </c>
      <c r="S21" s="213">
        <f>VLOOKUP(" 普通股股本",$B$40:$L$500,5,0)</f>
        <v>3274</v>
      </c>
      <c r="T21" s="213">
        <f>VLOOKUP(" 普通股股本",$B$40:$L$500,4,0)</f>
        <v>3274</v>
      </c>
      <c r="U21" s="213">
        <f>VLOOKUP(" 普通股股本",$B$40:$L$500,3,0)</f>
        <v>3180</v>
      </c>
      <c r="V21" s="214">
        <f>VLOOKUP(" 普通股股本",$B$40:$L$500,2,0)</f>
        <v>3180</v>
      </c>
      <c r="W21" s="54"/>
      <c r="X21" s="48"/>
      <c r="Y21" s="49"/>
      <c r="Z21" s="3"/>
      <c r="AA21" s="235"/>
      <c r="AB21" s="11"/>
      <c r="AC21" s="12"/>
      <c r="AD21" s="13"/>
    </row>
    <row r="22" spans="1:30">
      <c r="A22" s="7"/>
      <c r="B22" s="9"/>
      <c r="C22" s="9"/>
      <c r="D22" s="9"/>
      <c r="E22" s="9"/>
      <c r="F22" s="9"/>
      <c r="G22" s="9"/>
      <c r="H22" s="9"/>
      <c r="I22" s="9"/>
      <c r="J22" s="10"/>
      <c r="N22" s="147" t="s">
        <v>25</v>
      </c>
      <c r="O22" s="215">
        <f t="shared" ref="O22:V22" si="0">IF(ISNUMBER((O3-O4)/O3),(O3-O4)/O3,0)</f>
        <v>0.13913913913913914</v>
      </c>
      <c r="P22" s="216">
        <f t="shared" si="0"/>
        <v>0.12722852512155591</v>
      </c>
      <c r="Q22" s="216">
        <f t="shared" si="0"/>
        <v>0.11632653061224489</v>
      </c>
      <c r="R22" s="216">
        <f t="shared" si="0"/>
        <v>0.10923046644361346</v>
      </c>
      <c r="S22" s="216">
        <f t="shared" si="0"/>
        <v>9.8650258038904329E-2</v>
      </c>
      <c r="T22" s="216">
        <f t="shared" si="0"/>
        <v>0.10983222785797893</v>
      </c>
      <c r="U22" s="216">
        <f t="shared" si="0"/>
        <v>0.11296703296703296</v>
      </c>
      <c r="V22" s="217">
        <f t="shared" si="0"/>
        <v>0.10817031070195628</v>
      </c>
      <c r="W22" s="275">
        <f>MIN(O22:V23)</f>
        <v>3.4736006351726877E-2</v>
      </c>
      <c r="X22" s="277">
        <f>MAX(O22:V23)</f>
        <v>0.13913913913913914</v>
      </c>
      <c r="Y22" s="2"/>
      <c r="Z22" s="3"/>
      <c r="AA22" s="235"/>
      <c r="AB22" s="11"/>
      <c r="AC22" s="12"/>
      <c r="AD22" s="13"/>
    </row>
    <row r="23" spans="1:30">
      <c r="A23" s="7"/>
      <c r="B23" s="8"/>
      <c r="C23" s="9"/>
      <c r="D23" s="9"/>
      <c r="E23" s="8"/>
      <c r="F23" s="8"/>
      <c r="G23" s="8"/>
      <c r="H23" s="8"/>
      <c r="I23" s="8"/>
      <c r="J23" s="10"/>
      <c r="N23" s="148" t="s">
        <v>26</v>
      </c>
      <c r="O23" s="218">
        <f t="shared" ref="O23:V23" si="1">O5/O3</f>
        <v>7.4674674674674674E-2</v>
      </c>
      <c r="P23" s="158">
        <f t="shared" si="1"/>
        <v>5.4092382495948138E-2</v>
      </c>
      <c r="Q23" s="158">
        <f t="shared" si="1"/>
        <v>4.8367346938775507E-2</v>
      </c>
      <c r="R23" s="158">
        <f t="shared" si="1"/>
        <v>4.9399724463688253E-2</v>
      </c>
      <c r="S23" s="158">
        <f t="shared" si="1"/>
        <v>3.4736006351726877E-2</v>
      </c>
      <c r="T23" s="158">
        <f t="shared" si="1"/>
        <v>4.8966055403823643E-2</v>
      </c>
      <c r="U23" s="158">
        <f t="shared" si="1"/>
        <v>5.3186813186813189E-2</v>
      </c>
      <c r="V23" s="219">
        <f t="shared" si="1"/>
        <v>3.6593785960874571E-2</v>
      </c>
      <c r="W23" s="276"/>
      <c r="X23" s="278"/>
      <c r="Y23" s="13"/>
      <c r="Z23" s="3"/>
      <c r="AA23" s="235"/>
      <c r="AB23" s="11"/>
      <c r="AC23" s="12"/>
      <c r="AD23" s="13"/>
    </row>
    <row r="24" spans="1:30">
      <c r="A24" s="7"/>
      <c r="B24" s="9"/>
      <c r="C24" s="9"/>
      <c r="D24" s="9"/>
      <c r="E24" s="9"/>
      <c r="F24" s="9"/>
      <c r="G24" s="9"/>
      <c r="H24" s="9"/>
      <c r="I24" s="9"/>
      <c r="J24" s="10"/>
      <c r="N24" s="148" t="s">
        <v>27</v>
      </c>
      <c r="O24" s="218">
        <f t="shared" ref="O24:V24" si="2">O13/O14</f>
        <v>0.58552875695732842</v>
      </c>
      <c r="P24" s="158">
        <f t="shared" si="2"/>
        <v>0.55878327942274197</v>
      </c>
      <c r="Q24" s="158">
        <f t="shared" si="2"/>
        <v>0.56689090377303308</v>
      </c>
      <c r="R24" s="158">
        <f t="shared" si="2"/>
        <v>0.59095077957811071</v>
      </c>
      <c r="S24" s="158">
        <f t="shared" si="2"/>
        <v>0.60091100210231252</v>
      </c>
      <c r="T24" s="158">
        <f t="shared" si="2"/>
        <v>0.59466880219654505</v>
      </c>
      <c r="U24" s="158">
        <f t="shared" si="2"/>
        <v>0.58238519129870892</v>
      </c>
      <c r="V24" s="219">
        <f t="shared" si="2"/>
        <v>0.59015982450642435</v>
      </c>
      <c r="W24" s="144">
        <f>MIN(O24:V24)</f>
        <v>0.55878327942274197</v>
      </c>
      <c r="X24" s="145">
        <f>MAX(O24:V24)</f>
        <v>0.60091100210231252</v>
      </c>
      <c r="Y24" s="13"/>
      <c r="Z24" s="3"/>
      <c r="AA24" s="235"/>
      <c r="AB24" s="11"/>
      <c r="AC24" s="12"/>
      <c r="AD24" s="13"/>
    </row>
    <row r="25" spans="1:30">
      <c r="A25" s="7"/>
      <c r="B25" s="9"/>
      <c r="C25" s="9"/>
      <c r="D25" s="9"/>
      <c r="E25" s="9"/>
      <c r="F25" s="9"/>
      <c r="G25" s="9"/>
      <c r="H25" s="9"/>
      <c r="I25" s="9"/>
      <c r="J25" s="10"/>
      <c r="N25" s="148" t="s">
        <v>28</v>
      </c>
      <c r="O25" s="220">
        <f>P25</f>
        <v>104.6049500928505</v>
      </c>
      <c r="P25" s="159">
        <f t="shared" ref="P25:V25" si="3">IF(ISNUMBER(365/(P4*4/((O12+P12)/2))),365/(P4*4/((O12+P12)/2)),0)</f>
        <v>104.6049500928505</v>
      </c>
      <c r="Q25" s="159">
        <f t="shared" si="3"/>
        <v>105.72777136258661</v>
      </c>
      <c r="R25" s="159">
        <f t="shared" si="3"/>
        <v>97.963709677419359</v>
      </c>
      <c r="S25" s="159">
        <f t="shared" si="3"/>
        <v>96.554998898920942</v>
      </c>
      <c r="T25" s="159">
        <f t="shared" si="3"/>
        <v>100.19901928555775</v>
      </c>
      <c r="U25" s="159">
        <f t="shared" si="3"/>
        <v>106.08151635282458</v>
      </c>
      <c r="V25" s="221">
        <f t="shared" si="3"/>
        <v>94.381935483870976</v>
      </c>
      <c r="W25" s="51">
        <f>MIN(O25:V27)</f>
        <v>21.420942523673197</v>
      </c>
      <c r="X25" s="16">
        <f>MAX(O25:V27)</f>
        <v>154.82417582417582</v>
      </c>
      <c r="Y25" s="13"/>
      <c r="Z25" s="3"/>
      <c r="AA25" s="235"/>
      <c r="AB25" s="11"/>
      <c r="AC25" s="12"/>
      <c r="AD25" s="13"/>
    </row>
    <row r="26" spans="1:30">
      <c r="A26" s="7"/>
      <c r="B26" s="9"/>
      <c r="C26" s="9"/>
      <c r="D26" s="9"/>
      <c r="E26" s="9"/>
      <c r="F26" s="9"/>
      <c r="G26" s="9"/>
      <c r="H26" s="9"/>
      <c r="I26" s="9"/>
      <c r="J26" s="10"/>
      <c r="N26" s="148" t="s">
        <v>29</v>
      </c>
      <c r="O26" s="222">
        <f>P26</f>
        <v>129.702188006483</v>
      </c>
      <c r="P26" s="160">
        <f t="shared" ref="P26:V27" si="4">IF(ISNUMBER(365/(P3*4/((O10+P10)/2))),365/(P3*4/((O10+P10)/2)),0)</f>
        <v>129.702188006483</v>
      </c>
      <c r="Q26" s="160">
        <f t="shared" si="4"/>
        <v>134.02576530612245</v>
      </c>
      <c r="R26" s="160">
        <f t="shared" si="4"/>
        <v>127.67098012202322</v>
      </c>
      <c r="S26" s="160">
        <f t="shared" si="4"/>
        <v>128.57048928146088</v>
      </c>
      <c r="T26" s="160">
        <f t="shared" si="4"/>
        <v>132.81627975029264</v>
      </c>
      <c r="U26" s="160">
        <f t="shared" si="4"/>
        <v>154.82417582417582</v>
      </c>
      <c r="V26" s="223">
        <f t="shared" si="4"/>
        <v>149.74870540851555</v>
      </c>
      <c r="W26" s="51"/>
      <c r="X26" s="16"/>
      <c r="Y26" s="13"/>
      <c r="Z26" s="3"/>
      <c r="AA26" s="235"/>
      <c r="AB26" s="11"/>
      <c r="AC26" s="12"/>
      <c r="AD26" s="13"/>
    </row>
    <row r="27" spans="1:30">
      <c r="A27" s="7"/>
      <c r="B27" s="8"/>
      <c r="C27" s="9"/>
      <c r="D27" s="9"/>
      <c r="E27" s="8"/>
      <c r="F27" s="8"/>
      <c r="G27" s="8"/>
      <c r="H27" s="8"/>
      <c r="I27" s="8"/>
      <c r="J27" s="10"/>
      <c r="N27" s="148" t="s">
        <v>30</v>
      </c>
      <c r="O27" s="220">
        <f>P27</f>
        <v>22.282961931290625</v>
      </c>
      <c r="P27" s="159">
        <f t="shared" si="4"/>
        <v>22.282961931290625</v>
      </c>
      <c r="Q27" s="159">
        <f t="shared" si="4"/>
        <v>22.549076212471132</v>
      </c>
      <c r="R27" s="159">
        <f t="shared" si="4"/>
        <v>21.965725806451612</v>
      </c>
      <c r="S27" s="159">
        <f t="shared" si="4"/>
        <v>21.420942523673197</v>
      </c>
      <c r="T27" s="159">
        <f t="shared" si="4"/>
        <v>21.797611220688147</v>
      </c>
      <c r="U27" s="159">
        <f t="shared" si="4"/>
        <v>22.111620416253718</v>
      </c>
      <c r="V27" s="221">
        <f t="shared" si="4"/>
        <v>21.85290322580645</v>
      </c>
      <c r="W27" s="51"/>
      <c r="X27" s="16"/>
      <c r="Y27" s="13"/>
      <c r="Z27" s="3"/>
      <c r="AA27" s="235"/>
      <c r="AB27" s="11"/>
      <c r="AC27" s="12"/>
      <c r="AD27" s="13"/>
    </row>
    <row r="28" spans="1:30">
      <c r="A28" s="7"/>
      <c r="B28" s="9"/>
      <c r="C28" s="9"/>
      <c r="D28" s="9"/>
      <c r="E28" s="9"/>
      <c r="F28" s="9"/>
      <c r="G28" s="9"/>
      <c r="H28" s="9"/>
      <c r="I28" s="9"/>
      <c r="J28" s="10"/>
      <c r="N28" s="148" t="s">
        <v>31</v>
      </c>
      <c r="O28" s="224">
        <f>O26+O27</f>
        <v>151.98514993777363</v>
      </c>
      <c r="P28" s="161">
        <f t="shared" ref="P28:V28" si="5">P26+P27</f>
        <v>151.98514993777363</v>
      </c>
      <c r="Q28" s="161">
        <f t="shared" si="5"/>
        <v>156.57484151859359</v>
      </c>
      <c r="R28" s="161">
        <f t="shared" si="5"/>
        <v>149.63670592847484</v>
      </c>
      <c r="S28" s="161">
        <f t="shared" si="5"/>
        <v>149.99143180513408</v>
      </c>
      <c r="T28" s="161">
        <f t="shared" si="5"/>
        <v>154.61389097098078</v>
      </c>
      <c r="U28" s="161">
        <f t="shared" si="5"/>
        <v>176.93579624042954</v>
      </c>
      <c r="V28" s="225">
        <f t="shared" si="5"/>
        <v>171.60160863432199</v>
      </c>
      <c r="W28" s="52">
        <f>MIN(O28:V28)</f>
        <v>149.63670592847484</v>
      </c>
      <c r="X28" s="145"/>
      <c r="Y28" s="13"/>
      <c r="Z28" s="3"/>
      <c r="AA28" s="235"/>
      <c r="AB28" s="11"/>
      <c r="AC28" s="12"/>
      <c r="AD28" s="13"/>
    </row>
    <row r="29" spans="1:30">
      <c r="A29" s="7"/>
      <c r="B29" s="8"/>
      <c r="C29" s="9"/>
      <c r="D29" s="9"/>
      <c r="E29" s="8"/>
      <c r="F29" s="8"/>
      <c r="G29" s="8"/>
      <c r="H29" s="8"/>
      <c r="I29" s="8"/>
      <c r="J29" s="10"/>
      <c r="N29" s="148" t="s">
        <v>32</v>
      </c>
      <c r="O29" s="210">
        <f>O18+O19</f>
        <v>139</v>
      </c>
      <c r="P29" s="157">
        <f t="shared" ref="P29:V29" si="6">P18+P19</f>
        <v>185</v>
      </c>
      <c r="Q29" s="157">
        <f t="shared" si="6"/>
        <v>140</v>
      </c>
      <c r="R29" s="157">
        <f t="shared" si="6"/>
        <v>164</v>
      </c>
      <c r="S29" s="157">
        <f t="shared" si="6"/>
        <v>170</v>
      </c>
      <c r="T29" s="157">
        <f t="shared" si="6"/>
        <v>254</v>
      </c>
      <c r="U29" s="157">
        <f t="shared" si="6"/>
        <v>183</v>
      </c>
      <c r="V29" s="211">
        <f t="shared" si="6"/>
        <v>180</v>
      </c>
      <c r="W29" s="11"/>
      <c r="X29" s="12"/>
      <c r="Y29" s="13"/>
      <c r="Z29" s="3"/>
      <c r="AA29" s="235"/>
      <c r="AB29" s="11"/>
      <c r="AC29" s="12"/>
      <c r="AD29" s="13"/>
    </row>
    <row r="30" spans="1:30">
      <c r="A30" s="7"/>
      <c r="B30" s="9"/>
      <c r="C30" s="9"/>
      <c r="D30" s="9"/>
      <c r="E30" s="9"/>
      <c r="F30" s="9"/>
      <c r="G30" s="9"/>
      <c r="H30" s="9"/>
      <c r="I30" s="9"/>
      <c r="J30" s="10"/>
      <c r="N30" s="148" t="s">
        <v>33</v>
      </c>
      <c r="O30" s="218">
        <f>P30</f>
        <v>4.5814759782070329E-2</v>
      </c>
      <c r="P30" s="158">
        <f>P29/(IF(P3-O3&gt;0,P3,O4)-P16)</f>
        <v>4.5814759782070329E-2</v>
      </c>
      <c r="Q30" s="158">
        <f>Q29/(IF(Q3-P3&gt;0,Q3,P4)-Q16)</f>
        <v>3.5202413879808901E-2</v>
      </c>
      <c r="R30" s="158">
        <f>R29/(IF(R3-Q3&gt;0,R3,Q4)-R16)</f>
        <v>3.5862672206429039E-2</v>
      </c>
      <c r="S30" s="158">
        <f t="shared" ref="S30:V30" si="7">S29/(IF(S3-R3&gt;0,S3,R4)-S16)</f>
        <v>3.8513819664703214E-2</v>
      </c>
      <c r="T30" s="158">
        <f t="shared" si="7"/>
        <v>5.0148075024679169E-2</v>
      </c>
      <c r="U30" s="158">
        <f t="shared" si="7"/>
        <v>4.0397350993377483E-2</v>
      </c>
      <c r="V30" s="158">
        <f t="shared" si="7"/>
        <v>4.4876589379207181E-2</v>
      </c>
      <c r="W30" s="11"/>
      <c r="X30" s="12"/>
      <c r="Y30" s="13"/>
      <c r="Z30" s="3"/>
      <c r="AA30" s="235"/>
      <c r="AB30" s="11"/>
      <c r="AC30" s="12"/>
      <c r="AD30" s="13"/>
    </row>
    <row r="31" spans="1:30">
      <c r="A31" s="7"/>
      <c r="B31" s="8"/>
      <c r="C31" s="9"/>
      <c r="D31" s="9"/>
      <c r="E31" s="8"/>
      <c r="F31" s="8"/>
      <c r="G31" s="8"/>
      <c r="H31" s="8"/>
      <c r="I31" s="8"/>
      <c r="J31" s="10"/>
      <c r="N31" s="150" t="s">
        <v>261</v>
      </c>
      <c r="O31" s="226">
        <f t="shared" ref="O31:V31" si="8">O29/O4</f>
        <v>3.2325581395348836E-2</v>
      </c>
      <c r="P31" s="162">
        <f t="shared" si="8"/>
        <v>4.2943361188486538E-2</v>
      </c>
      <c r="Q31" s="162">
        <f t="shared" si="8"/>
        <v>3.2332563510392612E-2</v>
      </c>
      <c r="R31" s="162">
        <f t="shared" si="8"/>
        <v>3.6235086168802472E-2</v>
      </c>
      <c r="S31" s="162">
        <f>S29/S4</f>
        <v>3.7436687954195108E-2</v>
      </c>
      <c r="T31" s="162">
        <f t="shared" si="8"/>
        <v>5.5665132588209508E-2</v>
      </c>
      <c r="U31" s="162">
        <f t="shared" si="8"/>
        <v>4.5341922695738356E-2</v>
      </c>
      <c r="V31" s="227">
        <f t="shared" si="8"/>
        <v>4.645161290322581E-2</v>
      </c>
      <c r="W31" s="266">
        <f>AVERAGE(O32:V32)</f>
        <v>2.2629354773887473</v>
      </c>
      <c r="X31" s="267"/>
      <c r="Y31" s="13"/>
      <c r="Z31" s="3"/>
      <c r="AA31" s="235"/>
      <c r="AB31" s="11"/>
      <c r="AC31" s="12"/>
      <c r="AD31" s="13"/>
    </row>
    <row r="32" spans="1:30">
      <c r="A32" s="7"/>
      <c r="B32" s="9"/>
      <c r="C32" s="9"/>
      <c r="D32" s="9"/>
      <c r="E32" s="9"/>
      <c r="F32" s="9"/>
      <c r="G32" s="9"/>
      <c r="H32" s="9"/>
      <c r="I32" s="9"/>
      <c r="J32" s="10"/>
      <c r="N32" s="264" t="s">
        <v>34</v>
      </c>
      <c r="O32" s="228">
        <f t="shared" ref="O32:V32" si="9">IF(O8&gt;0,IF(O15&gt;O8,IF(ISNUMBER(O15/O8),O15/O8,0),0),0)</f>
        <v>1.0517928286852589</v>
      </c>
      <c r="P32" s="163">
        <f t="shared" si="9"/>
        <v>2.277173913043478</v>
      </c>
      <c r="Q32" s="163">
        <f t="shared" si="9"/>
        <v>0</v>
      </c>
      <c r="R32" s="163">
        <f t="shared" si="9"/>
        <v>0</v>
      </c>
      <c r="S32" s="163">
        <f t="shared" si="9"/>
        <v>3.3131313131313131</v>
      </c>
      <c r="T32" s="163">
        <f t="shared" si="9"/>
        <v>1.9261744966442953</v>
      </c>
      <c r="U32" s="163">
        <f t="shared" si="9"/>
        <v>0</v>
      </c>
      <c r="V32" s="229">
        <f t="shared" si="9"/>
        <v>9.535211267605634</v>
      </c>
      <c r="W32" s="266"/>
      <c r="X32" s="267"/>
      <c r="Y32" s="13"/>
      <c r="Z32" s="3"/>
      <c r="AA32" s="235"/>
      <c r="AB32" s="11"/>
      <c r="AC32" s="12"/>
      <c r="AD32" s="13"/>
    </row>
    <row r="33" spans="1:30">
      <c r="A33" s="7"/>
      <c r="B33" s="8"/>
      <c r="C33" s="9"/>
      <c r="D33" s="9"/>
      <c r="E33" s="8"/>
      <c r="F33" s="8"/>
      <c r="G33" s="8"/>
      <c r="H33" s="8"/>
      <c r="I33" s="8"/>
      <c r="J33" s="10"/>
      <c r="N33" s="265"/>
      <c r="O33" s="228">
        <f>$W$31</f>
        <v>2.2629354773887473</v>
      </c>
      <c r="P33" s="163">
        <f t="shared" ref="P33:V33" si="10">$W$31</f>
        <v>2.2629354773887473</v>
      </c>
      <c r="Q33" s="163">
        <f t="shared" si="10"/>
        <v>2.2629354773887473</v>
      </c>
      <c r="R33" s="163">
        <f t="shared" si="10"/>
        <v>2.2629354773887473</v>
      </c>
      <c r="S33" s="163">
        <f t="shared" si="10"/>
        <v>2.2629354773887473</v>
      </c>
      <c r="T33" s="163">
        <f t="shared" si="10"/>
        <v>2.2629354773887473</v>
      </c>
      <c r="U33" s="163">
        <f t="shared" si="10"/>
        <v>2.2629354773887473</v>
      </c>
      <c r="V33" s="229">
        <f t="shared" si="10"/>
        <v>2.2629354773887473</v>
      </c>
      <c r="W33" s="144"/>
      <c r="X33" s="145"/>
      <c r="Y33" s="13"/>
      <c r="Z33" s="3"/>
      <c r="AA33" s="235"/>
      <c r="AB33" s="11"/>
      <c r="AC33" s="12"/>
      <c r="AD33" s="13"/>
    </row>
    <row r="34" spans="1:30">
      <c r="A34" s="7"/>
      <c r="B34" s="9"/>
      <c r="C34" s="9"/>
      <c r="D34" s="9"/>
      <c r="E34" s="9"/>
      <c r="F34" s="9"/>
      <c r="G34" s="9"/>
      <c r="H34" s="9"/>
      <c r="I34" s="9"/>
      <c r="J34" s="10"/>
      <c r="N34" s="150" t="s">
        <v>35</v>
      </c>
      <c r="O34" s="230">
        <f t="shared" ref="O34:V34" si="11">IF(O6&gt;0,IF((O7-O6)&gt;0,O5,0),MAX(O5,O7))</f>
        <v>373</v>
      </c>
      <c r="P34" s="164">
        <f t="shared" si="11"/>
        <v>0</v>
      </c>
      <c r="Q34" s="164">
        <f t="shared" si="11"/>
        <v>237</v>
      </c>
      <c r="R34" s="164">
        <f t="shared" si="11"/>
        <v>251</v>
      </c>
      <c r="S34" s="164">
        <f t="shared" si="11"/>
        <v>175</v>
      </c>
      <c r="T34" s="164">
        <f t="shared" si="11"/>
        <v>251</v>
      </c>
      <c r="U34" s="164">
        <f t="shared" si="11"/>
        <v>242</v>
      </c>
      <c r="V34" s="231">
        <f t="shared" si="11"/>
        <v>159</v>
      </c>
      <c r="W34" s="144"/>
      <c r="X34" s="145"/>
      <c r="Y34" s="13"/>
      <c r="Z34" s="3"/>
      <c r="AA34" s="235"/>
      <c r="AB34" s="11"/>
      <c r="AC34" s="12"/>
      <c r="AD34" s="13"/>
    </row>
    <row r="35" spans="1:30">
      <c r="A35" s="7"/>
      <c r="B35" s="8"/>
      <c r="C35" s="9"/>
      <c r="D35" s="9"/>
      <c r="E35" s="8"/>
      <c r="F35" s="8"/>
      <c r="G35" s="8"/>
      <c r="H35" s="8"/>
      <c r="I35" s="8"/>
      <c r="J35" s="10"/>
      <c r="N35" s="150" t="s">
        <v>36</v>
      </c>
      <c r="O35" s="218">
        <f t="shared" ref="O35:U35" si="12">O34/O7</f>
        <v>0.9325</v>
      </c>
      <c r="P35" s="158">
        <f t="shared" si="12"/>
        <v>0</v>
      </c>
      <c r="Q35" s="158">
        <f t="shared" si="12"/>
        <v>1.025974025974026</v>
      </c>
      <c r="R35" s="158">
        <f t="shared" si="12"/>
        <v>1.0726495726495726</v>
      </c>
      <c r="S35" s="158">
        <f t="shared" si="12"/>
        <v>0.95108695652173914</v>
      </c>
      <c r="T35" s="158">
        <f t="shared" si="12"/>
        <v>0.89323843416370108</v>
      </c>
      <c r="U35" s="158">
        <f t="shared" si="12"/>
        <v>1.174757281553398</v>
      </c>
      <c r="V35" s="219">
        <f>IF(ISNUMBER(V6),V34/V7,1)</f>
        <v>1.0671140939597314</v>
      </c>
      <c r="W35" s="11"/>
      <c r="X35" s="12"/>
      <c r="Y35" s="13"/>
      <c r="Z35" s="3"/>
      <c r="AA35" s="235"/>
      <c r="AB35" s="11"/>
      <c r="AC35" s="12"/>
      <c r="AD35" s="13"/>
    </row>
    <row r="36" spans="1:30">
      <c r="A36" s="7"/>
      <c r="B36" s="9"/>
      <c r="C36" s="9"/>
      <c r="D36" s="9"/>
      <c r="E36" s="9"/>
      <c r="F36" s="9"/>
      <c r="G36" s="9"/>
      <c r="H36" s="9"/>
      <c r="I36" s="9"/>
      <c r="J36" s="10"/>
      <c r="N36" s="151" t="s">
        <v>37</v>
      </c>
      <c r="O36" s="218"/>
      <c r="P36" s="158">
        <f>Q36</f>
        <v>4.6505033319154968E-2</v>
      </c>
      <c r="Q36" s="158">
        <f>(Q8+P8)*2/(O20+Q20)</f>
        <v>4.6505033319154968E-2</v>
      </c>
      <c r="R36" s="158">
        <f>((R8+Q8+P8)/3)*4/(O20+R20)</f>
        <v>4.6296296296296294E-2</v>
      </c>
      <c r="S36" s="158">
        <f>(S8+R8+Q8+P8)/(O20+S20)</f>
        <v>4.1669745105282603E-2</v>
      </c>
      <c r="T36" s="158">
        <f>(T8+S8+R8+Q8)/(P20+T20)</f>
        <v>3.7306064880112837E-2</v>
      </c>
      <c r="U36" s="158">
        <f>(U8+T8+S8+R8)/(Q20+U20)</f>
        <v>3.4856432909994475E-2</v>
      </c>
      <c r="V36" s="219">
        <f>(V8+U8+T8+S8)/(R20+V20)</f>
        <v>3.3184670043087158E-2</v>
      </c>
      <c r="W36" s="53"/>
      <c r="X36" s="46"/>
      <c r="Y36" s="47"/>
      <c r="Z36" s="3"/>
      <c r="AA36" s="235"/>
      <c r="AB36" s="11"/>
      <c r="AC36" s="12"/>
      <c r="AD36" s="13"/>
    </row>
    <row r="37" spans="1:30" ht="17.25" thickBot="1">
      <c r="A37" s="17"/>
      <c r="B37" s="18"/>
      <c r="C37" s="18"/>
      <c r="D37" s="18"/>
      <c r="E37" s="18"/>
      <c r="F37" s="18"/>
      <c r="G37" s="18"/>
      <c r="H37" s="18"/>
      <c r="I37" s="18"/>
      <c r="J37" s="19"/>
      <c r="N37" s="150" t="s">
        <v>48</v>
      </c>
      <c r="O37" s="232">
        <f>O15-O16</f>
        <v>66</v>
      </c>
      <c r="P37" s="233">
        <f>P15-P16</f>
        <v>157</v>
      </c>
      <c r="Q37" s="233">
        <f t="shared" ref="Q37:V37" si="13">Q15-Q16</f>
        <v>-325</v>
      </c>
      <c r="R37" s="233">
        <f t="shared" si="13"/>
        <v>-530</v>
      </c>
      <c r="S37" s="233">
        <f t="shared" si="13"/>
        <v>216</v>
      </c>
      <c r="T37" s="233">
        <f t="shared" si="13"/>
        <v>226</v>
      </c>
      <c r="U37" s="233">
        <f t="shared" si="13"/>
        <v>-396</v>
      </c>
      <c r="V37" s="234">
        <f t="shared" si="13"/>
        <v>652</v>
      </c>
      <c r="W37" s="54"/>
      <c r="X37" s="48"/>
      <c r="Y37" s="49"/>
      <c r="Z37" s="3"/>
      <c r="AA37" s="235"/>
      <c r="AB37" s="241"/>
      <c r="AC37" s="242"/>
      <c r="AD37" s="243"/>
    </row>
    <row r="38" spans="1:30" ht="17.25" thickBot="1">
      <c r="B38" s="3" t="s">
        <v>2523</v>
      </c>
      <c r="N38" s="55"/>
      <c r="O38" s="268"/>
      <c r="P38" s="268"/>
      <c r="Q38" s="55"/>
      <c r="R38" s="55"/>
      <c r="Z38" s="3"/>
    </row>
    <row r="39" spans="1:30">
      <c r="B39" s="3" t="s">
        <v>49</v>
      </c>
      <c r="N39" s="245" t="s">
        <v>155</v>
      </c>
      <c r="O39" s="279" t="s">
        <v>157</v>
      </c>
      <c r="P39" s="279" t="s">
        <v>158</v>
      </c>
      <c r="Q39" s="279" t="s">
        <v>159</v>
      </c>
      <c r="R39" s="279" t="s">
        <v>160</v>
      </c>
      <c r="S39" s="247" t="s">
        <v>161</v>
      </c>
      <c r="T39" s="247" t="s">
        <v>162</v>
      </c>
      <c r="U39" s="247" t="s">
        <v>163</v>
      </c>
      <c r="V39" s="247" t="s">
        <v>164</v>
      </c>
      <c r="W39" s="247" t="s">
        <v>165</v>
      </c>
      <c r="X39" s="247" t="s">
        <v>166</v>
      </c>
      <c r="Y39" s="247" t="s">
        <v>167</v>
      </c>
      <c r="Z39" s="3"/>
    </row>
    <row r="40" spans="1:30" ht="17.25" thickBot="1">
      <c r="B40" s="3" t="s">
        <v>52</v>
      </c>
      <c r="C40" s="3" t="s">
        <v>263</v>
      </c>
      <c r="D40" s="3" t="s">
        <v>53</v>
      </c>
      <c r="E40" s="3" t="s">
        <v>54</v>
      </c>
      <c r="F40" s="3" t="s">
        <v>55</v>
      </c>
      <c r="G40" s="3" t="s">
        <v>56</v>
      </c>
      <c r="H40" s="3" t="s">
        <v>57</v>
      </c>
      <c r="I40" s="3" t="s">
        <v>58</v>
      </c>
      <c r="J40" s="3" t="s">
        <v>59</v>
      </c>
      <c r="N40" s="246" t="s">
        <v>156</v>
      </c>
      <c r="O40" s="280"/>
      <c r="P40" s="280"/>
      <c r="Q40" s="280"/>
      <c r="R40" s="280"/>
      <c r="S40" s="248"/>
      <c r="T40" s="248"/>
      <c r="U40" s="248"/>
      <c r="V40" s="248"/>
      <c r="W40" s="248"/>
      <c r="X40" s="248"/>
      <c r="Y40" s="248"/>
      <c r="Z40" s="3"/>
    </row>
    <row r="41" spans="1:30" ht="17.25" customHeight="1">
      <c r="B41" s="3" t="s">
        <v>10</v>
      </c>
      <c r="C41" s="21">
        <v>4345</v>
      </c>
      <c r="D41" s="21">
        <v>4550</v>
      </c>
      <c r="E41" s="21">
        <v>5126</v>
      </c>
      <c r="F41" s="21">
        <v>5038</v>
      </c>
      <c r="G41" s="21">
        <v>5081</v>
      </c>
      <c r="H41" s="21">
        <v>4900</v>
      </c>
      <c r="I41" s="21">
        <v>4936</v>
      </c>
      <c r="J41" s="21">
        <v>4995</v>
      </c>
      <c r="N41" s="23" t="s">
        <v>2525</v>
      </c>
      <c r="O41" s="281">
        <v>0.5625</v>
      </c>
      <c r="P41" s="284">
        <v>23.35</v>
      </c>
      <c r="Q41" s="249">
        <v>23.3</v>
      </c>
      <c r="R41" s="249">
        <v>23.35</v>
      </c>
      <c r="S41" s="252" t="s">
        <v>2526</v>
      </c>
      <c r="T41" s="255">
        <v>683</v>
      </c>
      <c r="U41" s="258">
        <v>23.4</v>
      </c>
      <c r="V41" s="258">
        <v>23.5</v>
      </c>
      <c r="W41" s="258">
        <v>23.6</v>
      </c>
      <c r="X41" s="258">
        <v>23.3</v>
      </c>
      <c r="Y41" s="26" t="s">
        <v>169</v>
      </c>
      <c r="Z41" s="3"/>
    </row>
    <row r="42" spans="1:30" ht="17.25" customHeight="1">
      <c r="B42" s="3" t="s">
        <v>11</v>
      </c>
      <c r="C42" s="21">
        <v>3875</v>
      </c>
      <c r="D42" s="21">
        <v>4036</v>
      </c>
      <c r="E42" s="21">
        <v>4563</v>
      </c>
      <c r="F42" s="21">
        <v>4541</v>
      </c>
      <c r="G42" s="21">
        <v>4526</v>
      </c>
      <c r="H42" s="21">
        <v>4330</v>
      </c>
      <c r="I42" s="21">
        <v>4308</v>
      </c>
      <c r="J42" s="21">
        <v>4300</v>
      </c>
      <c r="N42" s="24" t="s">
        <v>168</v>
      </c>
      <c r="O42" s="282"/>
      <c r="P42" s="285"/>
      <c r="Q42" s="250"/>
      <c r="R42" s="250"/>
      <c r="S42" s="253"/>
      <c r="T42" s="256"/>
      <c r="U42" s="259"/>
      <c r="V42" s="259"/>
      <c r="W42" s="259"/>
      <c r="X42" s="259"/>
      <c r="Y42" s="22" t="s">
        <v>170</v>
      </c>
      <c r="Z42" s="3"/>
    </row>
    <row r="43" spans="1:30" ht="17.25" customHeight="1">
      <c r="B43" s="3" t="s">
        <v>60</v>
      </c>
      <c r="C43" s="21">
        <v>470</v>
      </c>
      <c r="D43" s="21">
        <v>514</v>
      </c>
      <c r="E43" s="21">
        <v>563</v>
      </c>
      <c r="F43" s="21">
        <v>497</v>
      </c>
      <c r="G43" s="21">
        <v>556</v>
      </c>
      <c r="H43" s="21">
        <v>570</v>
      </c>
      <c r="I43" s="21">
        <v>627</v>
      </c>
      <c r="J43" s="21">
        <v>695</v>
      </c>
      <c r="N43" s="139"/>
      <c r="O43" s="282"/>
      <c r="P43" s="285"/>
      <c r="Q43" s="250"/>
      <c r="R43" s="250"/>
      <c r="S43" s="253"/>
      <c r="T43" s="256"/>
      <c r="U43" s="259"/>
      <c r="V43" s="259"/>
      <c r="W43" s="259"/>
      <c r="X43" s="259"/>
      <c r="Y43" s="22" t="s">
        <v>171</v>
      </c>
      <c r="Z43" s="3"/>
    </row>
    <row r="44" spans="1:30" ht="17.25" customHeight="1" thickBot="1">
      <c r="B44" s="3" t="s">
        <v>61</v>
      </c>
      <c r="C44" s="21">
        <v>0</v>
      </c>
      <c r="D44" s="21">
        <v>0</v>
      </c>
      <c r="E44" s="21">
        <v>0</v>
      </c>
      <c r="F44" s="21">
        <v>0</v>
      </c>
      <c r="G44" s="21">
        <v>0</v>
      </c>
      <c r="H44" s="21">
        <v>0</v>
      </c>
      <c r="I44" s="21">
        <v>0</v>
      </c>
      <c r="J44" s="21">
        <v>0</v>
      </c>
      <c r="N44" s="25"/>
      <c r="O44" s="283"/>
      <c r="P44" s="286"/>
      <c r="Q44" s="251"/>
      <c r="R44" s="251"/>
      <c r="S44" s="254"/>
      <c r="T44" s="257"/>
      <c r="U44" s="260"/>
      <c r="V44" s="260"/>
      <c r="W44" s="260"/>
      <c r="X44" s="260"/>
      <c r="Y44" s="27" t="s">
        <v>172</v>
      </c>
      <c r="Z44" s="3"/>
    </row>
    <row r="45" spans="1:30" ht="17.25" customHeight="1" thickBot="1">
      <c r="B45" s="3" t="s">
        <v>62</v>
      </c>
      <c r="C45" s="21">
        <v>470</v>
      </c>
      <c r="D45" s="21">
        <v>514</v>
      </c>
      <c r="E45" s="21">
        <v>563</v>
      </c>
      <c r="F45" s="21">
        <v>497</v>
      </c>
      <c r="G45" s="21">
        <v>556</v>
      </c>
      <c r="H45" s="21">
        <v>570</v>
      </c>
      <c r="I45" s="21">
        <v>627</v>
      </c>
      <c r="J45" s="21">
        <v>695</v>
      </c>
      <c r="N45" s="140" t="s">
        <v>173</v>
      </c>
      <c r="O45" s="270" t="s">
        <v>2494</v>
      </c>
      <c r="P45" s="271"/>
      <c r="Q45" s="271"/>
      <c r="R45" s="271"/>
      <c r="S45" s="271"/>
      <c r="T45" s="271"/>
      <c r="U45" s="271"/>
      <c r="V45" s="271"/>
      <c r="W45" s="271"/>
      <c r="X45" s="271"/>
      <c r="Y45" s="272"/>
      <c r="Z45" s="3"/>
    </row>
    <row r="46" spans="1:30">
      <c r="B46" s="3" t="s">
        <v>63</v>
      </c>
      <c r="C46" s="21">
        <v>311</v>
      </c>
      <c r="D46" s="21">
        <v>272</v>
      </c>
      <c r="E46" s="21">
        <v>313</v>
      </c>
      <c r="F46" s="21">
        <v>322</v>
      </c>
      <c r="G46" s="21">
        <v>305</v>
      </c>
      <c r="H46" s="21">
        <v>332</v>
      </c>
      <c r="I46" s="21">
        <v>360</v>
      </c>
      <c r="J46" s="21">
        <v>322</v>
      </c>
      <c r="N46" s="136"/>
      <c r="O46" s="269"/>
      <c r="P46" s="269"/>
      <c r="Q46" s="136"/>
      <c r="R46" s="136"/>
      <c r="Z46" s="3"/>
    </row>
    <row r="47" spans="1:30">
      <c r="B47" s="3" t="s">
        <v>64</v>
      </c>
      <c r="C47" s="21">
        <v>151</v>
      </c>
      <c r="D47" s="21">
        <v>126</v>
      </c>
      <c r="E47" s="21">
        <v>156</v>
      </c>
      <c r="F47" s="21">
        <v>139</v>
      </c>
      <c r="G47" s="21">
        <v>135</v>
      </c>
      <c r="H47" s="21">
        <v>124</v>
      </c>
      <c r="I47" s="21">
        <v>131</v>
      </c>
      <c r="J47" s="21">
        <v>156</v>
      </c>
      <c r="N47" s="179"/>
      <c r="O47" s="137"/>
      <c r="P47" s="137"/>
      <c r="Q47" s="138"/>
      <c r="R47" s="137"/>
      <c r="S47" s="85"/>
      <c r="T47" s="83"/>
    </row>
    <row r="48" spans="1:30">
      <c r="B48" s="3" t="s">
        <v>65</v>
      </c>
      <c r="C48" s="21">
        <v>108</v>
      </c>
      <c r="D48" s="21">
        <v>102</v>
      </c>
      <c r="E48" s="21">
        <v>105</v>
      </c>
      <c r="F48" s="21">
        <v>124</v>
      </c>
      <c r="G48" s="21">
        <v>119</v>
      </c>
      <c r="H48" s="21">
        <v>155</v>
      </c>
      <c r="I48" s="21">
        <v>163</v>
      </c>
      <c r="J48" s="21">
        <v>107</v>
      </c>
      <c r="N48" s="179">
        <f>0.38+0.23</f>
        <v>0.61</v>
      </c>
      <c r="O48" s="310">
        <f>1.18-0.61</f>
        <v>0.56999999999999995</v>
      </c>
      <c r="P48" s="310">
        <v>0.33</v>
      </c>
      <c r="Q48" s="311">
        <f>0.57-0.33</f>
        <v>0.23999999999999994</v>
      </c>
      <c r="R48" s="137"/>
      <c r="T48" s="83"/>
    </row>
    <row r="49" spans="2:21">
      <c r="B49" s="3" t="s">
        <v>66</v>
      </c>
      <c r="C49" s="21">
        <v>51</v>
      </c>
      <c r="D49" s="21">
        <v>44</v>
      </c>
      <c r="E49" s="21">
        <v>52</v>
      </c>
      <c r="F49" s="21">
        <v>59</v>
      </c>
      <c r="G49" s="21">
        <v>51</v>
      </c>
      <c r="H49" s="21">
        <v>53</v>
      </c>
      <c r="I49" s="21">
        <v>66</v>
      </c>
      <c r="J49" s="21">
        <v>58</v>
      </c>
      <c r="N49" s="179"/>
      <c r="O49" s="137"/>
      <c r="P49" s="137"/>
      <c r="Q49" s="138"/>
      <c r="R49" s="137"/>
      <c r="T49" s="83"/>
    </row>
    <row r="50" spans="2:21">
      <c r="B50" s="3" t="s">
        <v>67</v>
      </c>
      <c r="C50" s="21">
        <v>159</v>
      </c>
      <c r="D50" s="21">
        <v>242</v>
      </c>
      <c r="E50" s="21">
        <v>251</v>
      </c>
      <c r="F50" s="21">
        <v>175</v>
      </c>
      <c r="G50" s="21">
        <v>251</v>
      </c>
      <c r="H50" s="21">
        <v>237</v>
      </c>
      <c r="I50" s="21">
        <v>267</v>
      </c>
      <c r="J50" s="21">
        <v>373</v>
      </c>
      <c r="N50" s="179"/>
      <c r="O50" s="179"/>
      <c r="P50" s="137"/>
      <c r="Q50" s="138"/>
      <c r="R50" s="179"/>
      <c r="T50" s="83"/>
    </row>
    <row r="51" spans="2:21">
      <c r="B51" s="3" t="s">
        <v>68</v>
      </c>
      <c r="C51" s="21">
        <v>2</v>
      </c>
      <c r="D51" s="21">
        <v>2</v>
      </c>
      <c r="E51" s="21">
        <v>1</v>
      </c>
      <c r="F51" s="21">
        <v>1</v>
      </c>
      <c r="G51" s="21">
        <v>1</v>
      </c>
      <c r="H51" s="21">
        <v>1</v>
      </c>
      <c r="I51" s="21">
        <v>3</v>
      </c>
      <c r="J51" s="21">
        <v>1</v>
      </c>
      <c r="N51" s="179"/>
      <c r="O51" s="179"/>
      <c r="P51" s="137"/>
      <c r="Q51" s="138"/>
      <c r="R51" s="179"/>
      <c r="T51" s="83"/>
    </row>
    <row r="52" spans="2:21">
      <c r="B52" s="3" t="s">
        <v>69</v>
      </c>
      <c r="C52" s="21">
        <v>0</v>
      </c>
      <c r="D52" s="21">
        <v>0</v>
      </c>
      <c r="E52" s="3">
        <v>0</v>
      </c>
      <c r="F52" s="21">
        <v>9</v>
      </c>
      <c r="G52" s="21">
        <v>0</v>
      </c>
      <c r="H52" s="3">
        <v>0</v>
      </c>
      <c r="I52" s="21">
        <v>0</v>
      </c>
      <c r="J52" s="21">
        <v>8</v>
      </c>
      <c r="Q52" s="83"/>
      <c r="R52" s="83"/>
      <c r="T52" s="83"/>
    </row>
    <row r="53" spans="2:21">
      <c r="B53" s="3" t="s">
        <v>70</v>
      </c>
      <c r="C53" s="21">
        <v>0</v>
      </c>
      <c r="D53" s="21">
        <v>1</v>
      </c>
      <c r="E53" s="21">
        <v>0</v>
      </c>
      <c r="F53" s="21">
        <v>0</v>
      </c>
      <c r="G53" s="21">
        <v>0</v>
      </c>
      <c r="H53" s="21">
        <v>0</v>
      </c>
      <c r="I53" s="21">
        <v>-9</v>
      </c>
      <c r="J53" s="21">
        <v>9</v>
      </c>
    </row>
    <row r="54" spans="2:21">
      <c r="B54" s="3" t="s">
        <v>71</v>
      </c>
      <c r="C54" s="21">
        <v>0</v>
      </c>
      <c r="D54" s="21">
        <v>0</v>
      </c>
      <c r="E54" s="21">
        <v>0</v>
      </c>
      <c r="F54" s="21">
        <v>0</v>
      </c>
      <c r="G54" s="21">
        <v>0</v>
      </c>
      <c r="H54" s="21">
        <v>0</v>
      </c>
      <c r="I54" s="21">
        <v>0</v>
      </c>
      <c r="J54" s="21">
        <v>0</v>
      </c>
      <c r="Q54" s="83"/>
      <c r="R54" s="83"/>
      <c r="T54" s="83"/>
    </row>
    <row r="55" spans="2:21">
      <c r="B55" s="3" t="s">
        <v>72</v>
      </c>
      <c r="C55" s="21">
        <v>0</v>
      </c>
      <c r="D55" s="21">
        <v>0</v>
      </c>
      <c r="E55" s="21">
        <v>0</v>
      </c>
      <c r="F55" s="21">
        <v>0</v>
      </c>
      <c r="G55" s="21">
        <v>0</v>
      </c>
      <c r="H55" s="21">
        <v>0</v>
      </c>
      <c r="I55" s="21">
        <v>0</v>
      </c>
      <c r="J55" s="21">
        <v>-8</v>
      </c>
    </row>
    <row r="56" spans="2:21">
      <c r="B56" s="3" t="s">
        <v>73</v>
      </c>
      <c r="C56" s="3">
        <v>0</v>
      </c>
      <c r="D56" s="3">
        <v>0</v>
      </c>
      <c r="E56" s="3">
        <v>0</v>
      </c>
      <c r="F56" s="3">
        <v>0</v>
      </c>
      <c r="G56" s="3">
        <v>0</v>
      </c>
      <c r="H56" s="3">
        <v>0</v>
      </c>
      <c r="I56" s="3">
        <v>0</v>
      </c>
      <c r="J56" s="3">
        <v>0</v>
      </c>
      <c r="O56" t="s">
        <v>2528</v>
      </c>
      <c r="Q56" s="83"/>
      <c r="R56" s="83"/>
      <c r="T56" s="83"/>
    </row>
    <row r="57" spans="2:21">
      <c r="B57" s="3" t="s">
        <v>74</v>
      </c>
      <c r="C57" s="3">
        <v>0</v>
      </c>
      <c r="D57" s="3">
        <v>0</v>
      </c>
      <c r="E57" s="3">
        <v>0</v>
      </c>
      <c r="F57" s="3">
        <v>0</v>
      </c>
      <c r="G57" s="3">
        <v>0</v>
      </c>
      <c r="H57" s="3">
        <v>0</v>
      </c>
      <c r="I57" s="3">
        <v>0</v>
      </c>
      <c r="J57" s="3">
        <v>0</v>
      </c>
    </row>
    <row r="58" spans="2:21">
      <c r="B58" s="3" t="s">
        <v>75</v>
      </c>
      <c r="C58" s="3">
        <v>0</v>
      </c>
      <c r="D58" s="3">
        <v>0</v>
      </c>
      <c r="E58" s="3">
        <v>0</v>
      </c>
      <c r="F58" s="3">
        <v>0</v>
      </c>
      <c r="G58" s="3">
        <v>0</v>
      </c>
      <c r="H58" s="3">
        <v>0</v>
      </c>
      <c r="I58" s="21">
        <v>0</v>
      </c>
      <c r="J58" s="3">
        <v>0</v>
      </c>
      <c r="O58" t="s">
        <v>2529</v>
      </c>
      <c r="Q58" s="83"/>
      <c r="R58" s="83"/>
      <c r="T58" s="83"/>
    </row>
    <row r="59" spans="2:21">
      <c r="B59" s="3" t="s">
        <v>76</v>
      </c>
      <c r="C59" s="3">
        <v>0</v>
      </c>
      <c r="D59" s="3">
        <v>0</v>
      </c>
      <c r="E59" s="3">
        <v>0</v>
      </c>
      <c r="F59" s="3">
        <v>0</v>
      </c>
      <c r="G59" s="3">
        <v>0</v>
      </c>
      <c r="H59" s="3">
        <v>0</v>
      </c>
      <c r="I59" s="3">
        <v>0</v>
      </c>
      <c r="J59" s="3">
        <v>0</v>
      </c>
    </row>
    <row r="60" spans="2:21">
      <c r="B60" s="3" t="s">
        <v>77</v>
      </c>
      <c r="C60" s="3">
        <v>0</v>
      </c>
      <c r="D60" s="3">
        <v>0</v>
      </c>
      <c r="E60" s="3">
        <v>0</v>
      </c>
      <c r="F60" s="3">
        <v>0</v>
      </c>
      <c r="G60" s="3">
        <v>0</v>
      </c>
      <c r="H60" s="3">
        <v>0</v>
      </c>
      <c r="I60" s="3">
        <v>0</v>
      </c>
      <c r="J60" s="3">
        <v>0</v>
      </c>
      <c r="O60" t="s">
        <v>2530</v>
      </c>
      <c r="Q60" s="83"/>
      <c r="R60" s="83"/>
      <c r="T60" s="83"/>
    </row>
    <row r="61" spans="2:21">
      <c r="B61" s="3" t="s">
        <v>78</v>
      </c>
      <c r="C61" s="21">
        <v>-9</v>
      </c>
      <c r="D61" s="3">
        <v>9</v>
      </c>
      <c r="E61" s="21">
        <v>147</v>
      </c>
      <c r="F61" s="3">
        <v>0</v>
      </c>
      <c r="G61" s="3">
        <v>-43</v>
      </c>
      <c r="H61" s="21">
        <v>43</v>
      </c>
      <c r="I61" s="3">
        <v>271</v>
      </c>
      <c r="J61" s="3">
        <v>2</v>
      </c>
      <c r="O61" t="s">
        <v>1082</v>
      </c>
    </row>
    <row r="62" spans="2:21">
      <c r="B62" s="3" t="s">
        <v>79</v>
      </c>
      <c r="C62" s="3">
        <v>2</v>
      </c>
      <c r="D62" s="3">
        <v>1</v>
      </c>
      <c r="E62" s="3">
        <v>53</v>
      </c>
      <c r="F62" s="3">
        <v>23</v>
      </c>
      <c r="G62" s="3">
        <v>13</v>
      </c>
      <c r="H62" s="3">
        <v>23</v>
      </c>
      <c r="I62" s="3">
        <v>44</v>
      </c>
      <c r="J62" s="3">
        <v>43</v>
      </c>
      <c r="O62" t="s">
        <v>1083</v>
      </c>
      <c r="P62" t="s">
        <v>622</v>
      </c>
      <c r="Q62" s="83" t="s">
        <v>1084</v>
      </c>
      <c r="R62" s="83" t="s">
        <v>1085</v>
      </c>
      <c r="S62" t="s">
        <v>1086</v>
      </c>
      <c r="T62" s="83" t="s">
        <v>1087</v>
      </c>
      <c r="U62" t="s">
        <v>1086</v>
      </c>
    </row>
    <row r="63" spans="2:21">
      <c r="B63" s="3" t="s">
        <v>80</v>
      </c>
      <c r="C63" s="21">
        <v>-5</v>
      </c>
      <c r="D63" s="21">
        <v>12</v>
      </c>
      <c r="E63" s="21">
        <v>200</v>
      </c>
      <c r="F63" s="21">
        <v>34</v>
      </c>
      <c r="G63" s="21">
        <v>-29</v>
      </c>
      <c r="H63" s="21">
        <v>68</v>
      </c>
      <c r="I63" s="21">
        <v>309</v>
      </c>
      <c r="J63" s="21">
        <v>54</v>
      </c>
      <c r="O63" t="s">
        <v>1088</v>
      </c>
      <c r="P63" s="83">
        <v>1673334</v>
      </c>
      <c r="Q63" s="85">
        <v>-3.4099999999999998E-2</v>
      </c>
      <c r="R63" s="83">
        <v>1714359</v>
      </c>
      <c r="S63" s="85">
        <v>-2.3900000000000001E-2</v>
      </c>
      <c r="T63" s="83">
        <v>13930853</v>
      </c>
      <c r="U63" s="85">
        <v>-7.8399999999999997E-2</v>
      </c>
    </row>
    <row r="64" spans="2:21">
      <c r="B64" s="3" t="s">
        <v>81</v>
      </c>
      <c r="C64" s="3">
        <v>17</v>
      </c>
      <c r="D64" s="3">
        <v>18</v>
      </c>
      <c r="E64" s="3">
        <v>20</v>
      </c>
      <c r="F64" s="3">
        <v>20</v>
      </c>
      <c r="G64" s="3">
        <v>17</v>
      </c>
      <c r="H64" s="3">
        <v>14</v>
      </c>
      <c r="I64" s="3">
        <v>13</v>
      </c>
      <c r="J64" s="3">
        <v>18</v>
      </c>
      <c r="O64" t="s">
        <v>1089</v>
      </c>
      <c r="P64" s="83">
        <v>1732380</v>
      </c>
      <c r="Q64" s="83">
        <v>6.7900000000000002E-2</v>
      </c>
      <c r="R64" s="83">
        <v>1651654</v>
      </c>
      <c r="S64" s="85">
        <v>4.8899999999999999E-2</v>
      </c>
      <c r="T64" s="83">
        <v>12257519</v>
      </c>
      <c r="U64" s="85">
        <v>-8.5400000000000004E-2</v>
      </c>
    </row>
    <row r="65" spans="2:21">
      <c r="B65" s="3" t="s">
        <v>82</v>
      </c>
      <c r="C65" s="3">
        <v>0</v>
      </c>
      <c r="D65" s="3">
        <v>0</v>
      </c>
      <c r="E65" s="3">
        <v>0</v>
      </c>
      <c r="F65" s="3">
        <v>0</v>
      </c>
      <c r="G65" s="3">
        <v>0</v>
      </c>
      <c r="H65" s="3">
        <v>0</v>
      </c>
      <c r="I65" s="3">
        <v>0</v>
      </c>
      <c r="J65" s="3">
        <v>0</v>
      </c>
      <c r="O65" t="s">
        <v>1090</v>
      </c>
      <c r="P65" s="83">
        <v>1622303</v>
      </c>
      <c r="Q65" s="85">
        <v>0.17699999999999999</v>
      </c>
      <c r="R65" s="83">
        <v>1701175</v>
      </c>
      <c r="S65" s="85">
        <v>-4.6399999999999997E-2</v>
      </c>
      <c r="T65" s="83">
        <v>10525139</v>
      </c>
      <c r="U65" s="85">
        <v>-0.1042</v>
      </c>
    </row>
    <row r="66" spans="2:21">
      <c r="B66" s="3" t="s">
        <v>83</v>
      </c>
      <c r="C66" s="3">
        <v>2</v>
      </c>
      <c r="D66" s="3">
        <v>3</v>
      </c>
      <c r="E66" s="3">
        <v>3</v>
      </c>
      <c r="F66" s="3">
        <v>0</v>
      </c>
      <c r="G66" s="3">
        <v>2</v>
      </c>
      <c r="H66" s="3">
        <v>1</v>
      </c>
      <c r="I66" s="3">
        <v>3</v>
      </c>
      <c r="J66" s="3">
        <v>0</v>
      </c>
      <c r="O66" t="s">
        <v>1091</v>
      </c>
      <c r="P66" s="83">
        <v>1378300</v>
      </c>
      <c r="Q66" s="83">
        <v>-7.4300000000000005E-2</v>
      </c>
      <c r="R66" s="83">
        <v>1582596</v>
      </c>
      <c r="S66" s="85">
        <v>-0.12909999999999999</v>
      </c>
      <c r="T66" s="83">
        <v>8902836</v>
      </c>
      <c r="U66" s="85">
        <v>-0.114</v>
      </c>
    </row>
    <row r="67" spans="2:21">
      <c r="B67" s="3" t="s">
        <v>84</v>
      </c>
      <c r="C67" s="3">
        <v>0</v>
      </c>
      <c r="D67" s="3">
        <v>0</v>
      </c>
      <c r="E67" s="3">
        <v>0</v>
      </c>
      <c r="F67" s="3">
        <v>0</v>
      </c>
      <c r="G67" s="3">
        <v>0</v>
      </c>
      <c r="H67" s="3">
        <v>0</v>
      </c>
      <c r="I67" s="3">
        <v>0</v>
      </c>
      <c r="J67" s="3">
        <v>0</v>
      </c>
      <c r="O67" t="s">
        <v>1092</v>
      </c>
      <c r="P67" s="83">
        <v>1488995</v>
      </c>
      <c r="Q67" s="85">
        <v>1.6999999999999999E-3</v>
      </c>
      <c r="R67" s="83">
        <v>1762906</v>
      </c>
      <c r="S67" s="85">
        <v>-0.15540000000000001</v>
      </c>
      <c r="T67" s="83">
        <v>7524536</v>
      </c>
      <c r="U67" s="85">
        <v>-0.11119999999999999</v>
      </c>
    </row>
    <row r="68" spans="2:21">
      <c r="B68" s="3" t="s">
        <v>85</v>
      </c>
      <c r="C68" s="3">
        <v>0</v>
      </c>
      <c r="D68" s="3">
        <v>0</v>
      </c>
      <c r="E68" s="3">
        <v>0</v>
      </c>
      <c r="F68" s="3">
        <v>0</v>
      </c>
      <c r="G68" s="3">
        <v>0</v>
      </c>
      <c r="H68" s="3">
        <v>0</v>
      </c>
      <c r="I68" s="3">
        <v>0</v>
      </c>
      <c r="J68" s="3">
        <v>0</v>
      </c>
      <c r="O68" t="s">
        <v>1093</v>
      </c>
      <c r="P68" s="83">
        <v>1486441</v>
      </c>
      <c r="Q68" s="83">
        <v>-9.1000000000000004E-3</v>
      </c>
      <c r="R68" s="83">
        <v>1762519</v>
      </c>
      <c r="S68" s="85">
        <v>-0.15659999999999999</v>
      </c>
      <c r="T68" s="83">
        <v>6035541</v>
      </c>
      <c r="U68" s="85">
        <v>-9.9599999999999994E-2</v>
      </c>
    </row>
    <row r="69" spans="2:21">
      <c r="B69" s="3" t="s">
        <v>86</v>
      </c>
      <c r="C69" s="21">
        <v>0</v>
      </c>
      <c r="D69" s="21">
        <v>0</v>
      </c>
      <c r="E69" s="21">
        <v>0</v>
      </c>
      <c r="F69" s="21">
        <v>0</v>
      </c>
      <c r="G69" s="3">
        <v>0</v>
      </c>
      <c r="H69" s="3">
        <v>0</v>
      </c>
      <c r="I69" s="3">
        <v>0</v>
      </c>
      <c r="J69" s="21">
        <v>0</v>
      </c>
      <c r="O69" t="s">
        <v>1094</v>
      </c>
      <c r="P69" s="83">
        <v>1500046</v>
      </c>
      <c r="Q69" s="85">
        <v>0.16850000000000001</v>
      </c>
      <c r="R69" s="83">
        <v>1713345</v>
      </c>
      <c r="S69" s="85">
        <v>-0.1245</v>
      </c>
      <c r="T69" s="83">
        <v>4549100</v>
      </c>
      <c r="U69" s="85">
        <v>-7.9200000000000007E-2</v>
      </c>
    </row>
    <row r="70" spans="2:21">
      <c r="B70" s="3" t="s">
        <v>87</v>
      </c>
      <c r="C70" s="3">
        <v>0</v>
      </c>
      <c r="D70" s="3">
        <v>0</v>
      </c>
      <c r="E70" s="3">
        <v>0</v>
      </c>
      <c r="F70" s="3">
        <v>0</v>
      </c>
      <c r="G70" s="3">
        <v>0</v>
      </c>
      <c r="H70" s="3">
        <v>0</v>
      </c>
      <c r="I70" s="3">
        <v>0</v>
      </c>
      <c r="J70" s="3">
        <v>0</v>
      </c>
      <c r="O70" t="s">
        <v>1095</v>
      </c>
      <c r="P70" s="83">
        <v>1283717</v>
      </c>
      <c r="Q70" s="83">
        <v>-0.27279999999999999</v>
      </c>
      <c r="R70" s="83">
        <v>1518560</v>
      </c>
      <c r="S70" s="85">
        <v>-0.15459999999999999</v>
      </c>
      <c r="T70" s="83">
        <v>3049054</v>
      </c>
      <c r="U70" s="85">
        <v>-5.5199999999999999E-2</v>
      </c>
    </row>
    <row r="71" spans="2:21">
      <c r="B71" s="3" t="s">
        <v>88</v>
      </c>
      <c r="C71" s="3">
        <v>0</v>
      </c>
      <c r="D71" s="3">
        <v>0</v>
      </c>
      <c r="E71" s="3">
        <v>0</v>
      </c>
      <c r="F71" s="3">
        <v>0</v>
      </c>
      <c r="G71" s="3">
        <v>0</v>
      </c>
      <c r="H71" s="3">
        <v>0</v>
      </c>
      <c r="I71" s="3">
        <v>0</v>
      </c>
      <c r="J71" s="3">
        <v>0</v>
      </c>
      <c r="O71" t="s">
        <v>1096</v>
      </c>
      <c r="P71" s="83">
        <v>1765337</v>
      </c>
      <c r="Q71" s="85">
        <v>1.7299999999999999E-2</v>
      </c>
      <c r="R71" s="83">
        <v>1708598</v>
      </c>
      <c r="S71" s="85">
        <v>3.32E-2</v>
      </c>
      <c r="T71" s="83">
        <v>1765337</v>
      </c>
      <c r="U71" s="85">
        <v>3.32E-2</v>
      </c>
    </row>
    <row r="72" spans="2:21">
      <c r="B72" s="3" t="s">
        <v>89</v>
      </c>
      <c r="C72" s="3">
        <v>0</v>
      </c>
      <c r="D72" s="3">
        <v>0</v>
      </c>
      <c r="E72" s="3">
        <v>0</v>
      </c>
      <c r="F72" s="3">
        <v>0</v>
      </c>
      <c r="G72" s="3">
        <v>0</v>
      </c>
      <c r="H72" s="3">
        <v>0</v>
      </c>
      <c r="I72" s="3">
        <v>0</v>
      </c>
      <c r="J72" s="21">
        <v>0</v>
      </c>
      <c r="O72" t="s">
        <v>1097</v>
      </c>
      <c r="P72" s="83">
        <v>1735261</v>
      </c>
      <c r="Q72" s="83">
        <v>5.6800000000000003E-2</v>
      </c>
      <c r="R72" s="83">
        <v>1773654</v>
      </c>
      <c r="S72" s="85">
        <v>-2.1600000000000001E-2</v>
      </c>
      <c r="T72" s="83">
        <v>20172227</v>
      </c>
      <c r="U72" s="85">
        <v>1.5800000000000002E-2</v>
      </c>
    </row>
    <row r="73" spans="2:21">
      <c r="B73" s="3" t="s">
        <v>90</v>
      </c>
      <c r="C73" s="3">
        <v>-3</v>
      </c>
      <c r="D73" s="3">
        <v>3</v>
      </c>
      <c r="E73" s="3">
        <v>3</v>
      </c>
      <c r="F73" s="3">
        <v>3</v>
      </c>
      <c r="G73" s="3">
        <v>6</v>
      </c>
      <c r="H73" s="3">
        <v>0</v>
      </c>
      <c r="I73" s="3">
        <v>3</v>
      </c>
      <c r="J73" s="3">
        <v>3</v>
      </c>
      <c r="O73" t="s">
        <v>1098</v>
      </c>
      <c r="P73" s="83">
        <v>1641975</v>
      </c>
      <c r="Q73" s="85">
        <v>-2.2200000000000001E-2</v>
      </c>
      <c r="R73" s="83">
        <v>1590784</v>
      </c>
      <c r="S73" s="85">
        <v>3.2199999999999999E-2</v>
      </c>
      <c r="T73" s="83">
        <v>18436966</v>
      </c>
      <c r="U73" s="85">
        <v>1.95E-2</v>
      </c>
    </row>
    <row r="74" spans="2:21">
      <c r="B74" s="3" t="s">
        <v>91</v>
      </c>
      <c r="C74" s="21">
        <v>-18</v>
      </c>
      <c r="D74" s="3">
        <v>21</v>
      </c>
      <c r="E74" s="21">
        <v>143</v>
      </c>
      <c r="F74" s="3">
        <v>0</v>
      </c>
      <c r="G74" s="3">
        <v>-39</v>
      </c>
      <c r="H74" s="3">
        <v>56</v>
      </c>
      <c r="I74" s="3">
        <v>255</v>
      </c>
      <c r="J74" s="3">
        <v>0</v>
      </c>
      <c r="O74" t="s">
        <v>1099</v>
      </c>
      <c r="P74" s="83">
        <v>1679279</v>
      </c>
      <c r="Q74" s="83">
        <v>-2.0500000000000001E-2</v>
      </c>
      <c r="R74" s="83">
        <v>1587823</v>
      </c>
      <c r="S74" s="85">
        <v>5.7599999999999998E-2</v>
      </c>
      <c r="T74" s="83">
        <v>16794991</v>
      </c>
      <c r="U74" s="85">
        <v>1.8200000000000001E-2</v>
      </c>
    </row>
    <row r="75" spans="2:21">
      <c r="B75" s="3" t="s">
        <v>92</v>
      </c>
      <c r="C75" s="3">
        <v>0</v>
      </c>
      <c r="D75" s="3">
        <v>0</v>
      </c>
      <c r="E75" s="3">
        <v>0</v>
      </c>
      <c r="F75" s="3">
        <v>0</v>
      </c>
      <c r="G75" s="3">
        <v>0</v>
      </c>
      <c r="H75" s="3">
        <v>0</v>
      </c>
      <c r="I75" s="3">
        <v>0</v>
      </c>
      <c r="J75" s="3">
        <v>0</v>
      </c>
      <c r="O75" t="s">
        <v>1100</v>
      </c>
      <c r="P75" s="83">
        <v>1714359</v>
      </c>
      <c r="Q75" s="85">
        <v>3.7999999999999999E-2</v>
      </c>
      <c r="R75" s="83">
        <v>1694269</v>
      </c>
      <c r="S75" s="85">
        <v>1.1900000000000001E-2</v>
      </c>
      <c r="T75" s="83">
        <v>15115712</v>
      </c>
      <c r="U75" s="85">
        <v>1.4E-2</v>
      </c>
    </row>
    <row r="76" spans="2:21">
      <c r="B76" s="3" t="s">
        <v>93</v>
      </c>
      <c r="C76" s="3">
        <v>8</v>
      </c>
      <c r="D76" s="3">
        <v>2</v>
      </c>
      <c r="E76" s="3">
        <v>0</v>
      </c>
      <c r="F76" s="3">
        <v>1</v>
      </c>
      <c r="G76" s="3">
        <v>2</v>
      </c>
      <c r="H76" s="3">
        <v>4</v>
      </c>
      <c r="I76" s="3">
        <v>-6</v>
      </c>
      <c r="J76" s="3">
        <v>6</v>
      </c>
      <c r="O76" t="s">
        <v>1101</v>
      </c>
      <c r="P76" s="83">
        <v>1651654</v>
      </c>
      <c r="Q76" s="83">
        <v>-2.9100000000000001E-2</v>
      </c>
      <c r="R76" s="83">
        <v>1730045</v>
      </c>
      <c r="S76" s="85">
        <v>-4.53E-2</v>
      </c>
      <c r="T76" s="83">
        <v>13401353</v>
      </c>
      <c r="U76" s="85">
        <v>1.43E-2</v>
      </c>
    </row>
    <row r="77" spans="2:21">
      <c r="B77" s="3" t="s">
        <v>94</v>
      </c>
      <c r="C77" s="21">
        <v>5</v>
      </c>
      <c r="D77" s="21">
        <v>48</v>
      </c>
      <c r="E77" s="21">
        <v>169</v>
      </c>
      <c r="F77" s="21">
        <v>25</v>
      </c>
      <c r="G77" s="21">
        <v>-12</v>
      </c>
      <c r="H77" s="21">
        <v>74</v>
      </c>
      <c r="I77" s="21">
        <v>268</v>
      </c>
      <c r="J77" s="21">
        <v>27</v>
      </c>
      <c r="O77" t="s">
        <v>1102</v>
      </c>
      <c r="P77" s="83">
        <v>1701175</v>
      </c>
      <c r="Q77" s="85">
        <v>7.4899999999999994E-2</v>
      </c>
      <c r="R77" s="83">
        <v>1605256</v>
      </c>
      <c r="S77" s="85">
        <v>5.9799999999999999E-2</v>
      </c>
      <c r="T77" s="83">
        <v>11749699</v>
      </c>
      <c r="U77" s="85">
        <v>2.3300000000000001E-2</v>
      </c>
    </row>
    <row r="78" spans="2:21">
      <c r="B78" s="3" t="s">
        <v>95</v>
      </c>
      <c r="C78" s="21">
        <v>149</v>
      </c>
      <c r="D78" s="21">
        <v>206</v>
      </c>
      <c r="E78" s="21">
        <v>281</v>
      </c>
      <c r="F78" s="21">
        <v>184</v>
      </c>
      <c r="G78" s="21">
        <v>234</v>
      </c>
      <c r="H78" s="21">
        <v>231</v>
      </c>
      <c r="I78" s="21">
        <v>308</v>
      </c>
      <c r="J78" s="21">
        <v>400</v>
      </c>
      <c r="O78" t="s">
        <v>1103</v>
      </c>
      <c r="P78" s="83">
        <v>1582596</v>
      </c>
      <c r="Q78" s="83">
        <v>-0.1023</v>
      </c>
      <c r="R78" s="83">
        <v>1537954</v>
      </c>
      <c r="S78" s="85">
        <v>2.9000000000000001E-2</v>
      </c>
      <c r="T78" s="83">
        <v>10048524</v>
      </c>
      <c r="U78" s="85">
        <v>1.7399999999999999E-2</v>
      </c>
    </row>
    <row r="79" spans="2:21">
      <c r="B79" s="3" t="s">
        <v>96</v>
      </c>
      <c r="C79" s="21">
        <v>78</v>
      </c>
      <c r="D79" s="21">
        <v>87</v>
      </c>
      <c r="E79" s="21">
        <v>132</v>
      </c>
      <c r="F79" s="21">
        <v>84</v>
      </c>
      <c r="G79" s="21">
        <v>98</v>
      </c>
      <c r="H79" s="21">
        <v>87</v>
      </c>
      <c r="I79" s="21">
        <v>124</v>
      </c>
      <c r="J79" s="21">
        <v>149</v>
      </c>
      <c r="O79" t="s">
        <v>1104</v>
      </c>
      <c r="P79" s="83">
        <v>1762906</v>
      </c>
      <c r="Q79" s="85">
        <v>2.0000000000000001E-4</v>
      </c>
      <c r="R79" s="83">
        <v>1582983</v>
      </c>
      <c r="S79" s="85">
        <v>0.1137</v>
      </c>
      <c r="T79" s="83">
        <v>8465928</v>
      </c>
      <c r="U79" s="85">
        <v>1.52E-2</v>
      </c>
    </row>
    <row r="80" spans="2:21">
      <c r="B80" s="3" t="s">
        <v>97</v>
      </c>
      <c r="C80" s="21">
        <v>71</v>
      </c>
      <c r="D80" s="21">
        <v>120</v>
      </c>
      <c r="E80" s="21">
        <v>149</v>
      </c>
      <c r="F80" s="21">
        <v>99</v>
      </c>
      <c r="G80" s="21">
        <v>137</v>
      </c>
      <c r="H80" s="21">
        <v>144</v>
      </c>
      <c r="I80" s="21">
        <v>184</v>
      </c>
      <c r="J80" s="21">
        <v>251</v>
      </c>
      <c r="O80" t="s">
        <v>1105</v>
      </c>
      <c r="P80" s="83">
        <v>1762519</v>
      </c>
      <c r="Q80" s="83">
        <v>2.87E-2</v>
      </c>
      <c r="R80" s="83">
        <v>1760728</v>
      </c>
      <c r="S80" s="85">
        <v>1E-3</v>
      </c>
      <c r="T80" s="83">
        <v>6703022</v>
      </c>
      <c r="U80" s="85">
        <v>-7.7999999999999996E-3</v>
      </c>
    </row>
    <row r="81" spans="2:21">
      <c r="B81" s="3" t="s">
        <v>98</v>
      </c>
      <c r="C81" s="3">
        <v>0</v>
      </c>
      <c r="D81" s="3">
        <v>0</v>
      </c>
      <c r="E81" s="3">
        <v>0</v>
      </c>
      <c r="F81" s="3">
        <v>0</v>
      </c>
      <c r="G81" s="3">
        <v>0</v>
      </c>
      <c r="H81" s="3">
        <v>0</v>
      </c>
      <c r="I81" s="3">
        <v>0</v>
      </c>
      <c r="J81" s="3">
        <v>0</v>
      </c>
      <c r="O81" t="s">
        <v>1106</v>
      </c>
      <c r="P81" s="83">
        <v>1713345</v>
      </c>
      <c r="Q81" s="85">
        <v>0.1283</v>
      </c>
      <c r="R81" s="83">
        <v>1758338</v>
      </c>
      <c r="S81" s="85">
        <v>-2.5600000000000001E-2</v>
      </c>
      <c r="T81" s="83">
        <v>4940503</v>
      </c>
      <c r="U81" s="85">
        <v>-1.09E-2</v>
      </c>
    </row>
    <row r="82" spans="2:21">
      <c r="B82" s="3" t="s">
        <v>99</v>
      </c>
      <c r="C82" s="3">
        <v>0</v>
      </c>
      <c r="D82" s="3">
        <v>0</v>
      </c>
      <c r="E82" s="3">
        <v>0</v>
      </c>
      <c r="F82" s="3">
        <v>0</v>
      </c>
      <c r="G82" s="3">
        <v>0</v>
      </c>
      <c r="H82" s="3">
        <v>0</v>
      </c>
      <c r="I82" s="3">
        <v>0</v>
      </c>
      <c r="J82" s="3">
        <v>0</v>
      </c>
      <c r="O82" t="s">
        <v>1107</v>
      </c>
      <c r="P82" s="83">
        <v>1518560</v>
      </c>
      <c r="Q82" s="83">
        <v>-0.11119999999999999</v>
      </c>
      <c r="R82" s="83">
        <v>1490765</v>
      </c>
      <c r="S82" s="85">
        <v>1.8599999999999998E-2</v>
      </c>
      <c r="T82" s="83">
        <v>3227158</v>
      </c>
      <c r="U82" s="85">
        <v>-3.0000000000000001E-3</v>
      </c>
    </row>
    <row r="83" spans="2:21">
      <c r="B83" s="3" t="s">
        <v>100</v>
      </c>
      <c r="C83" s="3">
        <v>0</v>
      </c>
      <c r="D83" s="3">
        <v>0</v>
      </c>
      <c r="E83" s="3">
        <v>0</v>
      </c>
      <c r="F83" s="3">
        <v>0</v>
      </c>
      <c r="G83" s="3">
        <v>0</v>
      </c>
      <c r="H83" s="3">
        <v>0</v>
      </c>
      <c r="I83" s="3">
        <v>0</v>
      </c>
      <c r="J83" s="3">
        <v>0</v>
      </c>
      <c r="O83" t="s">
        <v>1108</v>
      </c>
      <c r="P83" s="83">
        <v>1708598</v>
      </c>
      <c r="Q83" s="85">
        <v>-3.6700000000000003E-2</v>
      </c>
      <c r="R83" s="83">
        <v>1746019</v>
      </c>
      <c r="S83" s="85">
        <v>-2.1399999999999999E-2</v>
      </c>
      <c r="T83" s="83">
        <v>1708598</v>
      </c>
      <c r="U83" s="85">
        <v>-2.1399999999999999E-2</v>
      </c>
    </row>
    <row r="84" spans="2:21">
      <c r="B84" s="3" t="s">
        <v>101</v>
      </c>
      <c r="C84" s="21">
        <v>71</v>
      </c>
      <c r="D84" s="21">
        <v>120</v>
      </c>
      <c r="E84" s="21">
        <v>149</v>
      </c>
      <c r="F84" s="21">
        <v>99</v>
      </c>
      <c r="G84" s="21">
        <v>137</v>
      </c>
      <c r="H84" s="21">
        <v>144</v>
      </c>
      <c r="I84" s="21">
        <v>184</v>
      </c>
      <c r="J84" s="21">
        <v>251</v>
      </c>
      <c r="O84" t="s">
        <v>1109</v>
      </c>
      <c r="P84" s="83">
        <v>1773654</v>
      </c>
      <c r="Q84" s="83">
        <v>0.115</v>
      </c>
      <c r="R84" s="83">
        <v>1491208</v>
      </c>
      <c r="S84" s="85">
        <v>0.18940000000000001</v>
      </c>
      <c r="T84" s="83">
        <v>19858617</v>
      </c>
      <c r="U84" s="85">
        <v>3.1E-2</v>
      </c>
    </row>
    <row r="85" spans="2:21">
      <c r="B85" s="3" t="s">
        <v>102</v>
      </c>
      <c r="C85" s="3" t="s">
        <v>103</v>
      </c>
      <c r="D85" s="3" t="s">
        <v>103</v>
      </c>
      <c r="E85" s="3" t="s">
        <v>103</v>
      </c>
      <c r="F85" s="3" t="s">
        <v>103</v>
      </c>
      <c r="G85" s="3" t="s">
        <v>103</v>
      </c>
      <c r="H85" s="3" t="s">
        <v>103</v>
      </c>
      <c r="I85" s="3" t="s">
        <v>103</v>
      </c>
      <c r="J85" s="3" t="s">
        <v>103</v>
      </c>
      <c r="O85" t="s">
        <v>1110</v>
      </c>
      <c r="P85" s="83">
        <v>1590784</v>
      </c>
      <c r="Q85" s="85">
        <v>1.9E-3</v>
      </c>
      <c r="R85" s="83">
        <v>1499042</v>
      </c>
      <c r="S85" s="85">
        <v>6.1199999999999997E-2</v>
      </c>
      <c r="T85" s="83">
        <v>18084963</v>
      </c>
      <c r="U85" s="85">
        <v>1.77E-2</v>
      </c>
    </row>
    <row r="86" spans="2:21">
      <c r="B86" s="3" t="s">
        <v>104</v>
      </c>
      <c r="C86" s="3">
        <v>0</v>
      </c>
      <c r="D86" s="3">
        <v>0</v>
      </c>
      <c r="E86" s="3">
        <v>0</v>
      </c>
      <c r="F86" s="3">
        <v>0</v>
      </c>
      <c r="G86" s="3">
        <v>0</v>
      </c>
      <c r="H86" s="3">
        <v>0</v>
      </c>
      <c r="I86" s="3">
        <v>0</v>
      </c>
      <c r="J86" s="3">
        <v>0</v>
      </c>
      <c r="O86" t="s">
        <v>1111</v>
      </c>
      <c r="P86" s="83">
        <v>1587823</v>
      </c>
      <c r="Q86" s="83">
        <v>-6.2799999999999995E-2</v>
      </c>
      <c r="R86" s="83">
        <v>1598413</v>
      </c>
      <c r="S86" s="85">
        <v>-6.6E-3</v>
      </c>
      <c r="T86" s="83">
        <v>16494179</v>
      </c>
      <c r="U86" s="85">
        <v>1.37E-2</v>
      </c>
    </row>
    <row r="87" spans="2:21">
      <c r="B87" s="3" t="s">
        <v>105</v>
      </c>
      <c r="C87" s="21">
        <v>0</v>
      </c>
      <c r="D87" s="21">
        <v>0</v>
      </c>
      <c r="E87" s="21">
        <v>0</v>
      </c>
      <c r="F87" s="21">
        <v>0</v>
      </c>
      <c r="G87" s="21">
        <v>0</v>
      </c>
      <c r="H87" s="21">
        <v>0</v>
      </c>
      <c r="I87" s="21">
        <v>0</v>
      </c>
      <c r="J87" s="21">
        <v>0</v>
      </c>
      <c r="O87" t="s">
        <v>1112</v>
      </c>
      <c r="P87" s="83">
        <v>1694269</v>
      </c>
      <c r="Q87" s="85">
        <v>-2.07E-2</v>
      </c>
      <c r="R87" s="83">
        <v>1554950</v>
      </c>
      <c r="S87" s="85">
        <v>8.9599999999999999E-2</v>
      </c>
      <c r="T87" s="83">
        <v>14906356</v>
      </c>
      <c r="U87" s="85">
        <v>1.5900000000000001E-2</v>
      </c>
    </row>
    <row r="88" spans="2:21">
      <c r="B88" s="3" t="s">
        <v>13</v>
      </c>
      <c r="C88" s="21">
        <v>71</v>
      </c>
      <c r="D88" s="21">
        <v>120</v>
      </c>
      <c r="E88" s="21">
        <v>149</v>
      </c>
      <c r="F88" s="21">
        <v>99</v>
      </c>
      <c r="G88" s="21">
        <v>137</v>
      </c>
      <c r="H88" s="21">
        <v>144</v>
      </c>
      <c r="I88" s="21">
        <v>184</v>
      </c>
      <c r="J88" s="21">
        <v>251</v>
      </c>
      <c r="O88" t="s">
        <v>1113</v>
      </c>
      <c r="P88" s="83">
        <v>1730045</v>
      </c>
      <c r="Q88" s="83">
        <v>7.7700000000000005E-2</v>
      </c>
      <c r="R88" s="83">
        <v>1618447</v>
      </c>
      <c r="S88" s="85">
        <v>6.9000000000000006E-2</v>
      </c>
      <c r="T88" s="83">
        <v>13212087</v>
      </c>
      <c r="U88" s="85">
        <v>7.1000000000000004E-3</v>
      </c>
    </row>
    <row r="89" spans="2:21">
      <c r="B89" s="3" t="s">
        <v>14</v>
      </c>
      <c r="C89" s="21">
        <v>0.23</v>
      </c>
      <c r="D89" s="21">
        <v>0.38</v>
      </c>
      <c r="E89" s="21">
        <v>0.46</v>
      </c>
      <c r="F89" s="21">
        <v>0.3</v>
      </c>
      <c r="G89" s="21">
        <v>0.42</v>
      </c>
      <c r="H89" s="21">
        <v>0.44</v>
      </c>
      <c r="I89" s="21">
        <v>0.56999999999999995</v>
      </c>
      <c r="J89" s="21">
        <v>0.77</v>
      </c>
      <c r="O89" t="s">
        <v>1114</v>
      </c>
      <c r="P89" s="83">
        <v>1605256</v>
      </c>
      <c r="Q89" s="85">
        <v>4.3799999999999999E-2</v>
      </c>
      <c r="R89" s="83">
        <v>1640338</v>
      </c>
      <c r="S89" s="85">
        <v>-2.1399999999999999E-2</v>
      </c>
      <c r="T89" s="83">
        <v>11482043</v>
      </c>
      <c r="U89" s="85">
        <v>-1.5E-3</v>
      </c>
    </row>
    <row r="90" spans="2:21">
      <c r="B90" s="3" t="s">
        <v>106</v>
      </c>
      <c r="C90" s="21">
        <v>0.23</v>
      </c>
      <c r="D90" s="21">
        <v>0.37</v>
      </c>
      <c r="E90" s="21" t="s">
        <v>103</v>
      </c>
      <c r="F90" s="21">
        <v>0.3</v>
      </c>
      <c r="G90" s="21">
        <v>0.42</v>
      </c>
      <c r="H90" s="21">
        <v>0.44</v>
      </c>
      <c r="I90" s="21" t="s">
        <v>103</v>
      </c>
      <c r="J90" s="21">
        <v>0.77</v>
      </c>
      <c r="O90" t="s">
        <v>1115</v>
      </c>
      <c r="P90" s="83">
        <v>1537954</v>
      </c>
      <c r="Q90" s="83">
        <v>-2.8400000000000002E-2</v>
      </c>
      <c r="R90" s="83">
        <v>1534166</v>
      </c>
      <c r="S90" s="85">
        <v>2.5000000000000001E-3</v>
      </c>
      <c r="T90" s="83">
        <v>9876787</v>
      </c>
      <c r="U90" s="85">
        <v>1.8E-3</v>
      </c>
    </row>
    <row r="91" spans="2:21">
      <c r="B91" s="3" t="s">
        <v>107</v>
      </c>
      <c r="C91" s="21">
        <v>3148</v>
      </c>
      <c r="D91" s="21">
        <v>3179</v>
      </c>
      <c r="E91" s="21">
        <v>3260</v>
      </c>
      <c r="F91" s="21">
        <v>3274</v>
      </c>
      <c r="G91" s="21">
        <v>3264</v>
      </c>
      <c r="H91" s="21">
        <v>3252</v>
      </c>
      <c r="I91" s="21">
        <v>3244</v>
      </c>
      <c r="J91" s="21">
        <v>3244</v>
      </c>
      <c r="O91" t="s">
        <v>1116</v>
      </c>
      <c r="P91" s="83">
        <v>1582983</v>
      </c>
      <c r="Q91" s="85">
        <v>-0.1009</v>
      </c>
      <c r="R91" s="83">
        <v>1716048</v>
      </c>
      <c r="S91" s="85">
        <v>-7.7499999999999999E-2</v>
      </c>
      <c r="T91" s="83">
        <v>8338833</v>
      </c>
      <c r="U91" s="85">
        <v>1.6000000000000001E-3</v>
      </c>
    </row>
    <row r="92" spans="2:21">
      <c r="B92" s="3" t="s">
        <v>108</v>
      </c>
      <c r="C92" s="21">
        <v>0</v>
      </c>
      <c r="D92" s="21">
        <v>0</v>
      </c>
      <c r="E92" s="21">
        <v>0</v>
      </c>
      <c r="F92" s="21">
        <v>0</v>
      </c>
      <c r="G92" s="21">
        <v>0</v>
      </c>
      <c r="H92" s="21">
        <v>0</v>
      </c>
      <c r="I92" s="21">
        <v>0</v>
      </c>
      <c r="J92" s="21">
        <v>0</v>
      </c>
      <c r="O92" t="s">
        <v>1117</v>
      </c>
      <c r="P92" s="83">
        <v>1760728</v>
      </c>
      <c r="Q92" s="83">
        <v>1.4E-3</v>
      </c>
      <c r="R92" s="83">
        <v>1720168</v>
      </c>
      <c r="S92" s="85">
        <v>2.3599999999999999E-2</v>
      </c>
      <c r="T92" s="83">
        <v>6755850</v>
      </c>
      <c r="U92" s="85">
        <v>2.2200000000000001E-2</v>
      </c>
    </row>
    <row r="93" spans="2:21">
      <c r="B93" s="3" t="s">
        <v>109</v>
      </c>
      <c r="C93" s="3" t="s">
        <v>103</v>
      </c>
      <c r="D93" s="3" t="s">
        <v>103</v>
      </c>
      <c r="E93" s="3">
        <v>0</v>
      </c>
      <c r="F93" s="3" t="s">
        <v>103</v>
      </c>
      <c r="G93" s="3" t="s">
        <v>103</v>
      </c>
      <c r="H93" s="3" t="s">
        <v>103</v>
      </c>
      <c r="I93" s="3">
        <v>0</v>
      </c>
      <c r="J93" s="3" t="s">
        <v>103</v>
      </c>
      <c r="O93" t="s">
        <v>1118</v>
      </c>
      <c r="P93" s="83">
        <v>1758338</v>
      </c>
      <c r="Q93" s="85">
        <v>0.17949999999999999</v>
      </c>
      <c r="R93" s="83">
        <v>1862704</v>
      </c>
      <c r="S93" s="85">
        <v>-5.6000000000000001E-2</v>
      </c>
      <c r="T93" s="83">
        <v>4995122</v>
      </c>
      <c r="U93" s="85">
        <v>2.1700000000000001E-2</v>
      </c>
    </row>
    <row r="94" spans="2:21">
      <c r="B94" s="3" t="s">
        <v>110</v>
      </c>
      <c r="C94" s="21">
        <v>5</v>
      </c>
      <c r="D94" s="21">
        <v>0</v>
      </c>
      <c r="E94" s="21">
        <v>9</v>
      </c>
      <c r="F94" s="21">
        <v>0</v>
      </c>
      <c r="G94" s="21">
        <v>5</v>
      </c>
      <c r="H94" s="21">
        <v>5</v>
      </c>
      <c r="I94" s="21">
        <v>8</v>
      </c>
      <c r="J94" s="21">
        <v>8</v>
      </c>
      <c r="O94" t="s">
        <v>1119</v>
      </c>
      <c r="P94" s="119">
        <v>1490765</v>
      </c>
      <c r="Q94" s="83">
        <v>-0.1462</v>
      </c>
      <c r="R94" s="83">
        <v>1713544</v>
      </c>
      <c r="S94" s="85">
        <v>-0.13</v>
      </c>
      <c r="T94" s="83">
        <v>3236784</v>
      </c>
      <c r="U94" s="85">
        <v>6.9500000000000006E-2</v>
      </c>
    </row>
    <row r="95" spans="2:21">
      <c r="B95" s="3" t="s">
        <v>111</v>
      </c>
      <c r="C95" s="21">
        <v>0</v>
      </c>
      <c r="D95" s="21">
        <v>0</v>
      </c>
      <c r="E95" s="21">
        <v>0</v>
      </c>
      <c r="F95" s="21">
        <v>0</v>
      </c>
      <c r="G95" s="21">
        <v>0</v>
      </c>
      <c r="H95" s="21">
        <v>0</v>
      </c>
      <c r="I95" s="21">
        <v>0</v>
      </c>
      <c r="J95" s="21">
        <v>0</v>
      </c>
      <c r="O95" t="s">
        <v>1120</v>
      </c>
      <c r="P95" s="83">
        <v>1746019</v>
      </c>
      <c r="Q95" s="85">
        <v>0.1709</v>
      </c>
      <c r="R95" s="83">
        <v>1312884</v>
      </c>
      <c r="S95" s="85">
        <v>0.32990000000000003</v>
      </c>
      <c r="T95" s="83">
        <v>1746019</v>
      </c>
      <c r="U95" s="85">
        <v>0.32990000000000003</v>
      </c>
    </row>
    <row r="96" spans="2:21">
      <c r="B96" s="3" t="s">
        <v>112</v>
      </c>
      <c r="C96" s="21">
        <v>166</v>
      </c>
      <c r="D96" s="21">
        <v>224</v>
      </c>
      <c r="E96" s="21">
        <v>301</v>
      </c>
      <c r="F96" s="21">
        <v>204</v>
      </c>
      <c r="G96" s="21">
        <v>251</v>
      </c>
      <c r="H96" s="21">
        <v>245</v>
      </c>
      <c r="I96" s="21">
        <v>322</v>
      </c>
      <c r="J96" s="21">
        <v>418</v>
      </c>
      <c r="O96" t="s">
        <v>1121</v>
      </c>
      <c r="P96" s="119">
        <v>1491208</v>
      </c>
      <c r="Q96" s="83">
        <v>-5.1999999999999998E-3</v>
      </c>
      <c r="R96" s="83">
        <v>1579308</v>
      </c>
      <c r="S96" s="85">
        <v>-5.5800000000000002E-2</v>
      </c>
      <c r="T96" s="83">
        <v>19261911</v>
      </c>
      <c r="U96" s="85">
        <v>-3.9800000000000002E-2</v>
      </c>
    </row>
    <row r="97" spans="2:21">
      <c r="B97" s="3" t="s">
        <v>113</v>
      </c>
      <c r="C97" s="21">
        <v>346</v>
      </c>
      <c r="D97" s="21">
        <v>408</v>
      </c>
      <c r="E97" s="21">
        <v>555</v>
      </c>
      <c r="F97" s="21">
        <v>374</v>
      </c>
      <c r="G97" s="21">
        <v>415</v>
      </c>
      <c r="H97" s="21">
        <v>385</v>
      </c>
      <c r="I97" s="21">
        <v>507</v>
      </c>
      <c r="J97" s="21">
        <v>557</v>
      </c>
      <c r="O97" t="s">
        <v>1122</v>
      </c>
      <c r="P97" s="83">
        <v>1499042</v>
      </c>
      <c r="Q97" s="85">
        <v>-6.2199999999999998E-2</v>
      </c>
      <c r="R97" s="83">
        <v>1557485</v>
      </c>
      <c r="S97" s="85">
        <v>-3.7499999999999999E-2</v>
      </c>
      <c r="T97" s="83">
        <v>17770703</v>
      </c>
      <c r="U97" s="85">
        <v>-3.8399999999999997E-2</v>
      </c>
    </row>
    <row r="98" spans="2:21">
      <c r="B98" s="3" t="s">
        <v>114</v>
      </c>
      <c r="C98" s="21">
        <v>68</v>
      </c>
      <c r="D98" s="21">
        <v>122</v>
      </c>
      <c r="E98" s="21">
        <v>153</v>
      </c>
      <c r="F98" s="21">
        <v>103</v>
      </c>
      <c r="G98" s="21">
        <v>143</v>
      </c>
      <c r="H98" s="21">
        <v>144</v>
      </c>
      <c r="I98" s="21">
        <v>196</v>
      </c>
      <c r="J98" s="21">
        <v>254</v>
      </c>
      <c r="O98" t="s">
        <v>1123</v>
      </c>
      <c r="P98" s="119">
        <v>1598413</v>
      </c>
      <c r="Q98" s="83">
        <v>2.8000000000000001E-2</v>
      </c>
      <c r="R98" s="83">
        <v>1547123</v>
      </c>
      <c r="S98" s="85">
        <v>3.32E-2</v>
      </c>
      <c r="T98" s="83">
        <v>16271661</v>
      </c>
      <c r="U98" s="85">
        <v>-3.85E-2</v>
      </c>
    </row>
    <row r="99" spans="2:21">
      <c r="B99" s="3" t="s">
        <v>115</v>
      </c>
      <c r="C99" s="21"/>
      <c r="D99" s="21"/>
      <c r="E99" s="21"/>
      <c r="F99" s="21"/>
      <c r="G99" s="21"/>
      <c r="H99" s="21"/>
      <c r="I99" s="21"/>
      <c r="J99" s="21"/>
      <c r="O99" t="s">
        <v>1124</v>
      </c>
      <c r="P99" s="83">
        <v>1554950</v>
      </c>
      <c r="Q99" s="85">
        <v>-3.9199999999999999E-2</v>
      </c>
      <c r="R99" s="83">
        <v>1710866</v>
      </c>
      <c r="S99" s="85">
        <v>-9.11E-2</v>
      </c>
      <c r="T99" s="83">
        <v>14673248</v>
      </c>
      <c r="U99" s="85">
        <v>-4.5699999999999998E-2</v>
      </c>
    </row>
    <row r="100" spans="2:21">
      <c r="B100" s="3" t="s">
        <v>116</v>
      </c>
      <c r="C100" s="21"/>
      <c r="D100" s="21"/>
      <c r="E100" s="21"/>
      <c r="F100" s="21"/>
      <c r="G100" s="21"/>
      <c r="H100" s="21"/>
      <c r="I100" s="21"/>
      <c r="J100" s="21"/>
      <c r="O100" t="s">
        <v>1125</v>
      </c>
      <c r="P100" s="119">
        <v>1618447</v>
      </c>
      <c r="Q100" s="83">
        <v>-1.3299999999999999E-2</v>
      </c>
      <c r="R100" s="83"/>
      <c r="T100" s="83">
        <v>13118298</v>
      </c>
    </row>
    <row r="101" spans="2:21">
      <c r="C101" s="21"/>
      <c r="D101" s="21"/>
      <c r="E101" s="21"/>
      <c r="F101" s="21"/>
      <c r="G101" s="21"/>
      <c r="H101" s="21"/>
      <c r="I101" s="21"/>
      <c r="J101" s="21"/>
      <c r="O101" t="s">
        <v>1126</v>
      </c>
      <c r="P101" s="83">
        <v>1640338</v>
      </c>
      <c r="Q101" s="85">
        <v>6.9199999999999998E-2</v>
      </c>
      <c r="T101" s="83">
        <v>11499851</v>
      </c>
    </row>
    <row r="102" spans="2:21">
      <c r="C102" s="21"/>
      <c r="D102" s="21"/>
      <c r="E102" s="21"/>
      <c r="F102" s="21"/>
      <c r="G102" s="21"/>
      <c r="H102" s="21"/>
      <c r="I102" s="21"/>
      <c r="J102" s="21"/>
      <c r="O102" t="s">
        <v>1127</v>
      </c>
      <c r="P102" s="119">
        <v>1534166</v>
      </c>
      <c r="Q102" s="83">
        <v>-0.106</v>
      </c>
      <c r="R102" s="83"/>
      <c r="T102" s="83">
        <v>9859513</v>
      </c>
    </row>
    <row r="103" spans="2:21">
      <c r="C103" s="21"/>
      <c r="D103" s="21"/>
      <c r="E103" s="21"/>
      <c r="F103" s="21"/>
      <c r="G103" s="21"/>
      <c r="H103" s="21"/>
      <c r="I103" s="21"/>
      <c r="J103" s="21"/>
      <c r="O103" t="s">
        <v>1128</v>
      </c>
      <c r="P103" s="83">
        <v>1716048</v>
      </c>
      <c r="Q103" s="85">
        <v>-2.3999999999999998E-3</v>
      </c>
      <c r="T103" s="83">
        <v>8325348</v>
      </c>
    </row>
    <row r="104" spans="2:21">
      <c r="C104" s="21"/>
      <c r="D104" s="21"/>
      <c r="E104" s="21"/>
      <c r="F104" s="21"/>
      <c r="G104" s="21"/>
      <c r="H104" s="21"/>
      <c r="I104" s="21"/>
      <c r="O104" t="s">
        <v>1129</v>
      </c>
      <c r="P104" s="119">
        <v>1720168</v>
      </c>
      <c r="Q104" s="83">
        <v>-7.6499999999999999E-2</v>
      </c>
      <c r="R104" s="83"/>
      <c r="T104" s="83">
        <v>6609300</v>
      </c>
    </row>
    <row r="105" spans="2:21">
      <c r="C105" s="21"/>
      <c r="D105" s="21"/>
      <c r="E105" s="21"/>
      <c r="F105" s="21"/>
      <c r="G105" s="21"/>
      <c r="H105" s="21"/>
      <c r="I105" s="21"/>
      <c r="J105" s="21"/>
      <c r="O105" t="s">
        <v>1130</v>
      </c>
      <c r="P105" s="83">
        <v>1862704</v>
      </c>
      <c r="Q105" s="85">
        <v>8.6999999999999994E-2</v>
      </c>
      <c r="T105" s="83">
        <v>4889132</v>
      </c>
    </row>
    <row r="106" spans="2:21">
      <c r="C106" s="21"/>
      <c r="D106" s="21"/>
      <c r="E106" s="21"/>
      <c r="F106" s="21"/>
      <c r="G106" s="21"/>
      <c r="H106" s="21"/>
      <c r="I106" s="21"/>
      <c r="J106" s="21"/>
      <c r="O106" t="s">
        <v>1131</v>
      </c>
      <c r="P106" s="119">
        <v>1713544</v>
      </c>
      <c r="Q106" s="83">
        <v>0.30520000000000003</v>
      </c>
      <c r="R106" s="83"/>
      <c r="T106" s="83">
        <v>3026429</v>
      </c>
    </row>
    <row r="107" spans="2:21">
      <c r="C107" s="21"/>
      <c r="D107" s="21"/>
      <c r="E107" s="21"/>
      <c r="F107" s="21"/>
      <c r="G107" s="21"/>
      <c r="H107" s="21"/>
      <c r="I107" s="21"/>
      <c r="J107" s="21"/>
      <c r="O107" t="s">
        <v>1132</v>
      </c>
      <c r="P107" s="83">
        <v>1312884</v>
      </c>
      <c r="Q107" s="85">
        <v>-0.16869999999999999</v>
      </c>
      <c r="T107" s="83">
        <v>1312884</v>
      </c>
    </row>
    <row r="108" spans="2:21">
      <c r="C108" s="21"/>
      <c r="D108" s="21"/>
      <c r="E108" s="21"/>
      <c r="F108" s="21"/>
      <c r="G108" s="21"/>
      <c r="H108" s="21"/>
      <c r="I108" s="21"/>
      <c r="J108" s="21"/>
      <c r="O108" t="s">
        <v>1133</v>
      </c>
      <c r="P108" s="119">
        <v>1579308</v>
      </c>
      <c r="Q108" s="83">
        <v>1.4E-2</v>
      </c>
      <c r="R108" s="83"/>
      <c r="T108" s="83">
        <v>20059632</v>
      </c>
    </row>
    <row r="109" spans="2:21">
      <c r="C109" s="21"/>
      <c r="D109" s="21"/>
      <c r="E109" s="21"/>
      <c r="F109" s="21"/>
      <c r="G109" s="21"/>
      <c r="H109" s="21"/>
      <c r="I109" s="21"/>
      <c r="J109" s="21"/>
      <c r="O109" t="s">
        <v>1134</v>
      </c>
      <c r="P109" s="83">
        <v>1557485</v>
      </c>
      <c r="Q109" s="85">
        <v>6.7000000000000002E-3</v>
      </c>
      <c r="T109" s="83">
        <v>18480324</v>
      </c>
    </row>
    <row r="110" spans="2:21">
      <c r="C110" s="21"/>
      <c r="D110" s="21"/>
      <c r="E110" s="21"/>
      <c r="F110" s="21"/>
      <c r="G110" s="21"/>
      <c r="H110" s="21"/>
      <c r="I110" s="21"/>
      <c r="J110" s="21"/>
      <c r="O110" t="s">
        <v>1135</v>
      </c>
      <c r="P110" s="119">
        <v>1547123</v>
      </c>
      <c r="Q110" s="83">
        <v>-9.5699999999999993E-2</v>
      </c>
      <c r="R110" s="83"/>
      <c r="T110" s="83">
        <v>16922839</v>
      </c>
    </row>
    <row r="111" spans="2:21">
      <c r="C111" s="21"/>
      <c r="D111" s="21"/>
      <c r="E111" s="21"/>
      <c r="F111" s="21"/>
      <c r="G111" s="21"/>
      <c r="H111" s="21"/>
      <c r="I111" s="21"/>
      <c r="J111" s="21"/>
      <c r="O111" t="s">
        <v>1136</v>
      </c>
    </row>
    <row r="112" spans="2:21">
      <c r="C112" s="21"/>
      <c r="D112" s="21"/>
      <c r="E112" s="21"/>
      <c r="F112" s="21"/>
      <c r="G112" s="21"/>
      <c r="H112" s="21"/>
      <c r="I112" s="21"/>
      <c r="J112" s="21"/>
      <c r="P112" s="119"/>
      <c r="Q112" s="83"/>
      <c r="R112" s="83"/>
      <c r="T112" s="83"/>
    </row>
    <row r="113" spans="3:23">
      <c r="C113" s="21"/>
      <c r="D113" s="21"/>
      <c r="E113" s="21"/>
      <c r="F113" s="21"/>
      <c r="G113" s="21"/>
      <c r="H113" s="21"/>
      <c r="I113" s="21"/>
      <c r="J113" s="21"/>
    </row>
    <row r="114" spans="3:23">
      <c r="C114" s="21"/>
      <c r="D114" s="21"/>
      <c r="E114" s="21"/>
      <c r="F114" s="21"/>
      <c r="G114" s="21"/>
      <c r="H114" s="21"/>
      <c r="I114" s="21"/>
      <c r="J114" s="21"/>
      <c r="P114" s="119"/>
      <c r="Q114" s="83"/>
      <c r="R114" s="83"/>
      <c r="T114" s="83"/>
    </row>
    <row r="115" spans="3:23">
      <c r="C115" s="21"/>
      <c r="D115" s="21"/>
      <c r="E115" s="21"/>
      <c r="F115" s="21"/>
      <c r="G115" s="21"/>
      <c r="H115" s="21"/>
      <c r="I115" s="21"/>
      <c r="J115" s="21"/>
    </row>
    <row r="116" spans="3:23">
      <c r="C116" s="21"/>
      <c r="D116" s="21"/>
      <c r="E116" s="21"/>
      <c r="F116" s="21"/>
      <c r="G116" s="21"/>
      <c r="H116" s="21"/>
      <c r="I116" s="21"/>
      <c r="J116" s="21"/>
      <c r="P116" s="119"/>
      <c r="Q116" s="83"/>
      <c r="R116" s="83"/>
      <c r="T116" s="83"/>
    </row>
    <row r="117" spans="3:23">
      <c r="C117" s="21"/>
      <c r="D117" s="21"/>
      <c r="E117" s="21"/>
      <c r="F117" s="21"/>
      <c r="G117" s="21"/>
      <c r="H117" s="21"/>
      <c r="I117" s="21"/>
      <c r="J117" s="21"/>
    </row>
    <row r="118" spans="3:23">
      <c r="C118" s="21"/>
      <c r="D118" s="21"/>
      <c r="E118" s="21"/>
      <c r="F118" s="21"/>
      <c r="G118" s="21"/>
      <c r="H118" s="21"/>
      <c r="I118" s="21"/>
      <c r="J118" s="21"/>
      <c r="P118" s="119"/>
      <c r="Q118" s="83"/>
      <c r="R118" s="83"/>
      <c r="T118" s="83"/>
    </row>
    <row r="119" spans="3:23">
      <c r="C119" s="21"/>
      <c r="D119" s="21"/>
      <c r="E119" s="21"/>
      <c r="F119" s="21"/>
      <c r="G119" s="21"/>
      <c r="H119" s="21"/>
      <c r="I119" s="21"/>
      <c r="J119" s="21"/>
    </row>
    <row r="120" spans="3:23">
      <c r="C120" s="21"/>
      <c r="D120" s="21"/>
      <c r="E120" s="21"/>
      <c r="F120" s="21"/>
      <c r="G120" s="21"/>
      <c r="H120" s="21"/>
      <c r="I120" s="21"/>
      <c r="J120" s="21"/>
      <c r="O120" s="68" t="s">
        <v>2495</v>
      </c>
      <c r="P120" s="68" t="s">
        <v>299</v>
      </c>
      <c r="Q120" s="68" t="s">
        <v>2496</v>
      </c>
      <c r="R120" s="68" t="s">
        <v>2497</v>
      </c>
      <c r="S120" s="68" t="s">
        <v>2498</v>
      </c>
      <c r="T120" s="68" t="s">
        <v>2499</v>
      </c>
      <c r="U120" s="68" t="s">
        <v>2500</v>
      </c>
      <c r="V120" s="68" t="s">
        <v>2501</v>
      </c>
      <c r="W120" s="68" t="s">
        <v>2502</v>
      </c>
    </row>
    <row r="121" spans="3:23">
      <c r="C121" s="21"/>
      <c r="D121" s="21"/>
      <c r="E121" s="21"/>
      <c r="F121" s="21"/>
      <c r="G121" s="21"/>
      <c r="H121" s="21"/>
      <c r="I121" s="21"/>
      <c r="J121" s="21"/>
      <c r="O121" s="68" t="s">
        <v>2503</v>
      </c>
      <c r="P121" s="68">
        <v>23.35</v>
      </c>
      <c r="Q121" s="68">
        <v>23.33</v>
      </c>
      <c r="R121" s="68">
        <v>23.22</v>
      </c>
      <c r="S121" s="68">
        <v>22.75</v>
      </c>
      <c r="T121" s="68">
        <v>22.17</v>
      </c>
      <c r="U121" s="68">
        <v>20.329999999999998</v>
      </c>
      <c r="V121" s="68">
        <v>21.1</v>
      </c>
      <c r="W121" s="68">
        <v>22.74</v>
      </c>
    </row>
    <row r="122" spans="3:23">
      <c r="C122" s="21"/>
      <c r="D122" s="21"/>
      <c r="E122" s="21"/>
      <c r="F122" s="21"/>
      <c r="G122" s="21"/>
      <c r="H122" s="21"/>
      <c r="I122" s="21"/>
      <c r="J122" s="21"/>
      <c r="O122" s="68" t="s">
        <v>2504</v>
      </c>
      <c r="P122" s="68">
        <v>23.4</v>
      </c>
      <c r="Q122" s="68">
        <v>23.23</v>
      </c>
      <c r="R122" s="68">
        <v>23.35</v>
      </c>
      <c r="S122" s="68">
        <v>22.57</v>
      </c>
      <c r="T122" s="68">
        <v>22.11</v>
      </c>
      <c r="U122" s="68">
        <v>20.25</v>
      </c>
      <c r="V122" s="68">
        <v>21.12</v>
      </c>
      <c r="W122" s="68">
        <v>22.74</v>
      </c>
    </row>
    <row r="123" spans="3:23">
      <c r="C123" s="21"/>
      <c r="D123" s="21"/>
      <c r="E123" s="21"/>
      <c r="F123" s="21"/>
      <c r="G123" s="21"/>
      <c r="H123" s="21"/>
      <c r="I123" s="21"/>
      <c r="J123" s="21"/>
      <c r="O123" s="68" t="s">
        <v>161</v>
      </c>
      <c r="P123" s="68">
        <v>-0.05</v>
      </c>
      <c r="Q123" s="68">
        <v>0.1</v>
      </c>
      <c r="R123" s="68">
        <v>-0.13</v>
      </c>
      <c r="S123" s="68">
        <v>0.18</v>
      </c>
      <c r="T123" s="68">
        <v>0.06</v>
      </c>
      <c r="U123" s="68">
        <v>0.08</v>
      </c>
      <c r="V123" s="68">
        <v>-0.02</v>
      </c>
      <c r="W123" s="68">
        <v>0</v>
      </c>
    </row>
    <row r="124" spans="3:23">
      <c r="C124" s="21"/>
      <c r="D124" s="21"/>
      <c r="E124" s="21"/>
      <c r="F124" s="21"/>
      <c r="G124" s="21"/>
      <c r="H124" s="21"/>
      <c r="I124" s="21"/>
      <c r="J124" s="21"/>
      <c r="P124" s="119"/>
      <c r="Q124" s="83"/>
      <c r="R124" s="83"/>
      <c r="T124" s="83"/>
    </row>
    <row r="125" spans="3:23">
      <c r="C125" s="21"/>
      <c r="D125" s="21"/>
      <c r="E125" s="21"/>
      <c r="F125" s="21"/>
      <c r="G125" s="21"/>
      <c r="H125" s="21"/>
      <c r="I125" s="21"/>
      <c r="J125" s="21"/>
    </row>
    <row r="126" spans="3:23">
      <c r="E126" s="21"/>
      <c r="I126" s="21"/>
      <c r="P126" s="119"/>
      <c r="Q126" s="83"/>
      <c r="R126" s="83"/>
      <c r="T126" s="83"/>
    </row>
    <row r="127" spans="3:23">
      <c r="C127" s="21"/>
      <c r="D127" s="21"/>
      <c r="E127" s="21"/>
      <c r="F127" s="21"/>
      <c r="G127" s="21"/>
      <c r="H127" s="21"/>
      <c r="I127" s="21"/>
      <c r="J127" s="21"/>
    </row>
    <row r="128" spans="3:23">
      <c r="C128" s="21"/>
      <c r="D128" s="21"/>
      <c r="E128" s="21"/>
      <c r="F128" s="21"/>
      <c r="G128" s="21"/>
      <c r="H128" s="21"/>
      <c r="I128" s="21"/>
      <c r="J128" s="21"/>
      <c r="P128" s="119"/>
      <c r="Q128" s="83"/>
      <c r="R128" s="83"/>
      <c r="T128" s="83"/>
    </row>
    <row r="129" spans="3:20">
      <c r="C129" s="21"/>
      <c r="D129" s="21"/>
      <c r="E129" s="21"/>
      <c r="F129" s="21"/>
      <c r="G129" s="21"/>
      <c r="H129" s="21"/>
      <c r="I129" s="21"/>
      <c r="J129" s="21"/>
    </row>
    <row r="130" spans="3:20">
      <c r="C130" s="21"/>
      <c r="D130" s="21"/>
      <c r="E130" s="21"/>
      <c r="F130" s="21"/>
      <c r="G130" s="21"/>
      <c r="H130" s="21"/>
      <c r="I130" s="21"/>
      <c r="J130" s="21"/>
      <c r="P130" s="119"/>
      <c r="Q130" s="83"/>
      <c r="R130" s="83"/>
      <c r="T130" s="83"/>
    </row>
    <row r="131" spans="3:20">
      <c r="C131" s="21"/>
      <c r="D131" s="21"/>
      <c r="E131" s="21"/>
      <c r="F131" s="21"/>
      <c r="G131" s="21"/>
      <c r="H131" s="21"/>
      <c r="I131" s="21"/>
      <c r="J131" s="21"/>
    </row>
    <row r="132" spans="3:20">
      <c r="C132" s="21"/>
      <c r="D132" s="21"/>
      <c r="E132" s="21"/>
      <c r="F132" s="21"/>
      <c r="G132" s="21"/>
      <c r="H132" s="21"/>
      <c r="I132" s="21"/>
      <c r="J132" s="21"/>
      <c r="P132" s="119"/>
      <c r="Q132" s="83"/>
      <c r="R132" s="83"/>
      <c r="T132" s="83"/>
    </row>
    <row r="133" spans="3:20">
      <c r="C133" s="21"/>
      <c r="D133" s="21"/>
      <c r="E133" s="21"/>
      <c r="F133" s="21"/>
      <c r="G133" s="21"/>
      <c r="H133" s="21"/>
      <c r="I133" s="21"/>
      <c r="J133" s="21"/>
    </row>
    <row r="134" spans="3:20">
      <c r="C134" s="21"/>
      <c r="D134" s="21"/>
      <c r="E134" s="21"/>
      <c r="F134" s="21"/>
      <c r="G134" s="21"/>
      <c r="H134" s="21"/>
      <c r="I134" s="21"/>
      <c r="J134" s="21"/>
      <c r="P134" s="119"/>
      <c r="Q134" s="83"/>
      <c r="R134" s="83"/>
      <c r="T134" s="83"/>
    </row>
    <row r="135" spans="3:20">
      <c r="C135" s="21"/>
      <c r="D135" s="21"/>
      <c r="E135" s="21"/>
      <c r="F135" s="21"/>
      <c r="G135" s="21"/>
      <c r="H135" s="21"/>
      <c r="I135" s="21"/>
      <c r="J135" s="21"/>
    </row>
    <row r="136" spans="3:20">
      <c r="C136" s="21"/>
      <c r="D136" s="21"/>
      <c r="E136" s="21"/>
      <c r="F136" s="21"/>
      <c r="G136" s="21"/>
      <c r="H136" s="21"/>
      <c r="I136" s="21"/>
      <c r="J136" s="21"/>
      <c r="P136" s="119"/>
      <c r="Q136" s="83"/>
      <c r="R136" s="83"/>
      <c r="T136" s="83"/>
    </row>
    <row r="137" spans="3:20">
      <c r="C137" s="21"/>
      <c r="D137" s="21"/>
      <c r="E137" s="21"/>
      <c r="F137" s="21"/>
      <c r="G137" s="21"/>
      <c r="H137" s="21"/>
      <c r="I137" s="21"/>
      <c r="J137" s="21"/>
    </row>
    <row r="138" spans="3:20">
      <c r="P138" s="119"/>
      <c r="Q138" s="83"/>
      <c r="R138" s="83"/>
      <c r="T138" s="83"/>
    </row>
    <row r="139" spans="3:20">
      <c r="C139" s="21"/>
      <c r="D139" s="21"/>
      <c r="E139" s="21"/>
      <c r="F139" s="21"/>
      <c r="G139" s="21"/>
      <c r="H139" s="21"/>
      <c r="I139" s="21"/>
      <c r="J139" s="21"/>
    </row>
    <row r="140" spans="3:20">
      <c r="C140" s="21"/>
      <c r="D140" s="21"/>
      <c r="E140" s="21"/>
      <c r="F140" s="21"/>
      <c r="G140" s="21"/>
      <c r="H140" s="21"/>
      <c r="I140" s="21"/>
      <c r="J140" s="21"/>
      <c r="P140" s="119"/>
      <c r="Q140" s="83"/>
      <c r="R140" s="83"/>
      <c r="T140" s="83"/>
    </row>
    <row r="141" spans="3:20">
      <c r="C141" s="21"/>
      <c r="D141" s="21"/>
      <c r="E141" s="21"/>
      <c r="F141" s="21"/>
      <c r="G141" s="21"/>
      <c r="H141" s="21"/>
      <c r="I141" s="21"/>
      <c r="J141" s="21"/>
    </row>
    <row r="142" spans="3:20">
      <c r="H142" s="21"/>
      <c r="I142" s="21"/>
      <c r="J142" s="21"/>
      <c r="P142" s="119"/>
      <c r="Q142" s="83"/>
      <c r="R142" s="83"/>
      <c r="T142" s="83"/>
    </row>
    <row r="143" spans="3:20">
      <c r="C143" s="21"/>
      <c r="D143" s="21"/>
      <c r="E143" s="21"/>
      <c r="F143" s="21"/>
      <c r="G143" s="21"/>
      <c r="H143" s="21"/>
      <c r="I143" s="21"/>
      <c r="J143" s="21"/>
    </row>
    <row r="144" spans="3:20">
      <c r="C144" s="21"/>
      <c r="D144" s="21"/>
      <c r="E144" s="21"/>
      <c r="F144" s="21"/>
      <c r="G144" s="21"/>
      <c r="H144" s="21"/>
      <c r="I144" s="21"/>
      <c r="J144" s="21"/>
      <c r="P144" s="119"/>
      <c r="Q144" s="83"/>
      <c r="R144" s="83"/>
      <c r="T144" s="83"/>
    </row>
    <row r="145" spans="3:20">
      <c r="C145" s="21"/>
      <c r="D145" s="21"/>
      <c r="E145" s="21"/>
      <c r="F145" s="21"/>
      <c r="G145" s="21"/>
      <c r="H145" s="21"/>
      <c r="I145" s="21"/>
      <c r="J145" s="21"/>
    </row>
    <row r="146" spans="3:20">
      <c r="C146" s="21"/>
      <c r="D146" s="21"/>
      <c r="E146" s="21"/>
      <c r="F146" s="21"/>
      <c r="G146" s="21"/>
      <c r="H146" s="21"/>
      <c r="I146" s="21"/>
      <c r="J146" s="21"/>
      <c r="P146" s="119"/>
      <c r="Q146" s="83"/>
      <c r="R146" s="83"/>
      <c r="T146" s="83"/>
    </row>
    <row r="148" spans="3:20">
      <c r="D148" s="21"/>
      <c r="E148" s="21"/>
      <c r="F148" s="21"/>
      <c r="G148" s="21"/>
      <c r="H148" s="21"/>
      <c r="I148" s="21"/>
      <c r="J148" s="21"/>
      <c r="P148" s="119"/>
      <c r="Q148" s="83"/>
      <c r="R148" s="83"/>
      <c r="T148" s="83"/>
    </row>
    <row r="149" spans="3:20">
      <c r="C149" s="21"/>
      <c r="D149" s="21"/>
      <c r="E149" s="21"/>
      <c r="F149" s="21"/>
      <c r="G149" s="21"/>
      <c r="J149" s="21"/>
    </row>
    <row r="150" spans="3:20">
      <c r="C150" s="21"/>
      <c r="D150" s="21"/>
      <c r="E150" s="21"/>
      <c r="F150" s="21"/>
      <c r="G150" s="21"/>
      <c r="H150" s="21"/>
      <c r="I150" s="21"/>
      <c r="J150" s="21"/>
      <c r="P150" s="119"/>
      <c r="Q150" s="83"/>
      <c r="R150" s="83"/>
      <c r="T150" s="83"/>
    </row>
    <row r="151" spans="3:20">
      <c r="C151" s="21"/>
      <c r="D151" s="21"/>
      <c r="E151" s="21"/>
      <c r="F151" s="21"/>
      <c r="G151" s="21"/>
      <c r="H151" s="21"/>
      <c r="I151" s="21"/>
      <c r="J151" s="21"/>
    </row>
    <row r="152" spans="3:20">
      <c r="C152" s="21"/>
      <c r="D152" s="21"/>
      <c r="E152" s="21"/>
      <c r="F152" s="21"/>
      <c r="G152" s="21"/>
      <c r="H152" s="21"/>
      <c r="I152" s="21"/>
      <c r="J152" s="21"/>
      <c r="P152" s="119"/>
      <c r="Q152" s="83"/>
      <c r="R152" s="83"/>
      <c r="T152" s="83"/>
    </row>
    <row r="153" spans="3:20">
      <c r="C153" s="21"/>
      <c r="D153" s="21"/>
      <c r="E153" s="21"/>
      <c r="F153" s="21"/>
      <c r="G153" s="21"/>
      <c r="H153" s="21"/>
      <c r="I153" s="21"/>
      <c r="J153" s="21"/>
    </row>
    <row r="154" spans="3:20">
      <c r="C154" s="21"/>
      <c r="D154" s="21"/>
      <c r="E154" s="21"/>
      <c r="F154" s="21"/>
      <c r="G154" s="21"/>
      <c r="H154" s="21"/>
      <c r="I154" s="21"/>
      <c r="J154" s="21"/>
      <c r="P154" s="119"/>
      <c r="Q154" s="83"/>
      <c r="R154" s="83"/>
      <c r="T154" s="83"/>
    </row>
    <row r="155" spans="3:20">
      <c r="C155" s="21"/>
      <c r="D155" s="21"/>
      <c r="E155" s="21"/>
      <c r="F155" s="21"/>
      <c r="G155" s="21"/>
      <c r="H155" s="21"/>
      <c r="I155" s="21"/>
      <c r="J155" s="21"/>
    </row>
    <row r="156" spans="3:20">
      <c r="P156" s="119"/>
      <c r="Q156" s="83"/>
      <c r="R156" s="83"/>
      <c r="T156" s="83"/>
    </row>
    <row r="157" spans="3:20">
      <c r="C157" s="21"/>
      <c r="D157" s="21"/>
      <c r="E157" s="21"/>
      <c r="F157" s="21"/>
      <c r="G157" s="21"/>
      <c r="H157" s="21"/>
      <c r="I157" s="21"/>
      <c r="J157" s="21"/>
    </row>
    <row r="158" spans="3:20">
      <c r="P158" s="119"/>
      <c r="Q158" s="83"/>
      <c r="R158" s="83"/>
      <c r="T158" s="83"/>
    </row>
    <row r="159" spans="3:20">
      <c r="C159" s="21"/>
      <c r="D159" s="21"/>
      <c r="E159" s="21"/>
      <c r="F159" s="21"/>
      <c r="G159" s="21"/>
      <c r="H159" s="21"/>
      <c r="I159" s="21"/>
      <c r="J159" s="21"/>
    </row>
    <row r="160" spans="3:20">
      <c r="C160" s="21"/>
      <c r="D160" s="21"/>
      <c r="E160" s="21"/>
      <c r="F160" s="21"/>
      <c r="G160" s="21"/>
      <c r="H160" s="21"/>
      <c r="I160" s="21"/>
      <c r="J160" s="21"/>
      <c r="P160" s="119"/>
      <c r="Q160" s="83"/>
      <c r="R160" s="83"/>
      <c r="T160" s="83"/>
    </row>
    <row r="161" spans="3:20">
      <c r="C161" s="21"/>
      <c r="D161" s="21"/>
      <c r="E161" s="21"/>
      <c r="F161" s="21"/>
      <c r="G161" s="21"/>
      <c r="H161" s="21"/>
      <c r="I161" s="21"/>
      <c r="J161" s="21"/>
    </row>
    <row r="162" spans="3:20">
      <c r="P162" s="119"/>
      <c r="Q162" s="83"/>
      <c r="R162" s="83"/>
      <c r="T162" s="83"/>
    </row>
    <row r="163" spans="3:20">
      <c r="C163" s="21"/>
      <c r="D163" s="21"/>
      <c r="E163" s="21"/>
      <c r="F163" s="21"/>
      <c r="G163" s="21"/>
      <c r="H163" s="21"/>
      <c r="I163" s="21"/>
      <c r="J163" s="21"/>
    </row>
    <row r="164" spans="3:20">
      <c r="C164" s="21"/>
      <c r="D164" s="21"/>
      <c r="E164" s="21"/>
      <c r="F164" s="21"/>
      <c r="G164" s="21"/>
      <c r="H164" s="21"/>
      <c r="I164" s="21"/>
      <c r="J164" s="21"/>
      <c r="P164" s="119"/>
      <c r="Q164" s="83"/>
      <c r="R164" s="83"/>
      <c r="T164" s="83"/>
    </row>
    <row r="165" spans="3:20">
      <c r="C165" s="21"/>
      <c r="D165" s="21"/>
      <c r="E165" s="21"/>
      <c r="F165" s="21"/>
      <c r="G165" s="21"/>
      <c r="H165" s="21"/>
      <c r="I165" s="21"/>
      <c r="J165" s="21"/>
    </row>
    <row r="166" spans="3:20">
      <c r="C166" s="21"/>
      <c r="D166" s="21"/>
      <c r="E166" s="21"/>
      <c r="F166" s="21"/>
      <c r="G166" s="21"/>
      <c r="H166" s="21"/>
      <c r="I166" s="21"/>
      <c r="J166" s="21"/>
      <c r="P166" s="119"/>
      <c r="Q166" s="83"/>
      <c r="R166" s="83"/>
      <c r="T166" s="83"/>
    </row>
    <row r="168" spans="3:20">
      <c r="C168" s="21"/>
      <c r="D168" s="21"/>
      <c r="E168" s="21"/>
      <c r="F168" s="21"/>
      <c r="G168" s="21"/>
      <c r="H168" s="21"/>
      <c r="I168" s="21"/>
      <c r="J168" s="21"/>
      <c r="P168" s="119"/>
      <c r="Q168" s="83"/>
      <c r="R168" s="83"/>
      <c r="T168" s="83"/>
    </row>
    <row r="169" spans="3:20">
      <c r="C169" s="21"/>
      <c r="D169" s="21"/>
      <c r="E169" s="21"/>
      <c r="F169" s="21"/>
      <c r="G169" s="21"/>
      <c r="H169" s="21"/>
      <c r="I169" s="21"/>
      <c r="J169" s="21"/>
    </row>
    <row r="170" spans="3:20">
      <c r="P170" s="119"/>
      <c r="Q170" s="83"/>
      <c r="R170" s="83"/>
      <c r="T170" s="83"/>
    </row>
    <row r="171" spans="3:20">
      <c r="C171" s="21"/>
      <c r="D171" s="21"/>
      <c r="E171" s="21"/>
      <c r="F171" s="21"/>
      <c r="G171" s="21"/>
      <c r="H171" s="21"/>
      <c r="I171" s="21"/>
      <c r="J171" s="21"/>
    </row>
    <row r="172" spans="3:20">
      <c r="C172" s="21"/>
      <c r="D172" s="21"/>
      <c r="E172" s="21"/>
      <c r="F172" s="21"/>
      <c r="G172" s="21"/>
      <c r="H172" s="21"/>
      <c r="I172" s="21"/>
      <c r="J172" s="21"/>
      <c r="P172" s="119"/>
      <c r="Q172" s="83"/>
      <c r="R172" s="83"/>
      <c r="T172" s="83"/>
    </row>
    <row r="173" spans="3:20">
      <c r="H173" s="21"/>
      <c r="I173" s="21"/>
      <c r="J173" s="21"/>
    </row>
    <row r="174" spans="3:20">
      <c r="C174" s="21"/>
      <c r="D174" s="21"/>
      <c r="E174" s="21"/>
      <c r="F174" s="21"/>
      <c r="P174" s="119"/>
      <c r="Q174" s="83"/>
      <c r="R174" s="83"/>
      <c r="T174" s="83"/>
    </row>
    <row r="175" spans="3:20">
      <c r="C175" s="21"/>
      <c r="D175" s="21"/>
      <c r="E175" s="21"/>
      <c r="F175" s="21"/>
      <c r="G175" s="21"/>
      <c r="H175" s="21"/>
      <c r="I175" s="21"/>
      <c r="J175" s="21"/>
    </row>
    <row r="176" spans="3:20">
      <c r="G176" s="21"/>
      <c r="P176" s="119"/>
      <c r="Q176" s="83"/>
      <c r="R176" s="83"/>
      <c r="T176" s="83"/>
    </row>
    <row r="178" spans="2:20">
      <c r="P178" s="119"/>
      <c r="Q178" s="83"/>
      <c r="R178" s="83"/>
      <c r="T178" s="83"/>
    </row>
    <row r="180" spans="2:20">
      <c r="P180" s="119"/>
      <c r="Q180" s="83"/>
      <c r="R180" s="83"/>
      <c r="T180" s="83"/>
    </row>
    <row r="181" spans="2:20">
      <c r="B181" s="3" t="s">
        <v>2524</v>
      </c>
    </row>
    <row r="182" spans="2:20">
      <c r="B182" s="3" t="s">
        <v>49</v>
      </c>
      <c r="C182" s="21"/>
      <c r="D182" s="21"/>
      <c r="E182" s="21"/>
      <c r="F182" s="21"/>
      <c r="P182" s="119"/>
      <c r="Q182" s="83"/>
      <c r="R182" s="83"/>
      <c r="T182" s="83"/>
    </row>
    <row r="183" spans="2:20">
      <c r="B183" s="3" t="s">
        <v>52</v>
      </c>
      <c r="C183" s="21" t="s">
        <v>263</v>
      </c>
      <c r="D183" s="21" t="s">
        <v>53</v>
      </c>
      <c r="E183" s="21" t="s">
        <v>54</v>
      </c>
      <c r="F183" s="21" t="s">
        <v>55</v>
      </c>
      <c r="G183" s="3" t="s">
        <v>56</v>
      </c>
      <c r="H183" s="3" t="s">
        <v>57</v>
      </c>
      <c r="I183" s="3" t="s">
        <v>58</v>
      </c>
      <c r="J183" s="3" t="s">
        <v>59</v>
      </c>
    </row>
    <row r="184" spans="2:20">
      <c r="B184" s="3" t="s">
        <v>181</v>
      </c>
      <c r="C184" s="21">
        <v>2139</v>
      </c>
      <c r="D184" s="21">
        <v>1619</v>
      </c>
      <c r="E184" s="21">
        <v>1903</v>
      </c>
      <c r="F184" s="21">
        <v>1665</v>
      </c>
      <c r="G184" s="21">
        <v>1394</v>
      </c>
      <c r="H184" s="21">
        <v>1787</v>
      </c>
      <c r="I184" s="21">
        <v>1757</v>
      </c>
      <c r="J184" s="21">
        <v>1590</v>
      </c>
      <c r="P184" s="119"/>
      <c r="Q184" s="83"/>
      <c r="R184" s="83"/>
      <c r="T184" s="83"/>
    </row>
    <row r="185" spans="2:20">
      <c r="B185" s="3" t="s">
        <v>182</v>
      </c>
      <c r="C185" s="21">
        <v>335</v>
      </c>
      <c r="D185" s="21">
        <v>373</v>
      </c>
      <c r="E185" s="21">
        <v>386</v>
      </c>
      <c r="F185" s="21">
        <v>383</v>
      </c>
      <c r="G185" s="21">
        <v>458</v>
      </c>
      <c r="H185" s="21">
        <v>437</v>
      </c>
      <c r="I185" s="21">
        <v>473</v>
      </c>
      <c r="J185" s="21">
        <v>364</v>
      </c>
    </row>
    <row r="186" spans="2:20">
      <c r="B186" s="3" t="s">
        <v>219</v>
      </c>
      <c r="C186" s="21">
        <v>6425</v>
      </c>
      <c r="D186" s="21">
        <v>7836</v>
      </c>
      <c r="E186" s="21">
        <v>7604</v>
      </c>
      <c r="F186" s="21">
        <v>7318</v>
      </c>
      <c r="G186" s="21">
        <v>6879</v>
      </c>
      <c r="H186" s="21">
        <v>7339</v>
      </c>
      <c r="I186" s="21">
        <v>7055</v>
      </c>
      <c r="J186" s="21">
        <v>6977</v>
      </c>
      <c r="P186" s="119"/>
      <c r="Q186" s="83"/>
      <c r="R186" s="83"/>
      <c r="T186" s="83"/>
    </row>
    <row r="187" spans="2:20">
      <c r="B187" s="3" t="s">
        <v>183</v>
      </c>
      <c r="C187" s="21">
        <v>505</v>
      </c>
      <c r="D187" s="3">
        <v>393</v>
      </c>
      <c r="E187" s="3">
        <v>554</v>
      </c>
      <c r="F187" s="21">
        <v>459</v>
      </c>
      <c r="G187" s="21">
        <v>466</v>
      </c>
      <c r="H187" s="21">
        <v>440</v>
      </c>
      <c r="I187" s="21">
        <v>336</v>
      </c>
      <c r="J187" s="21">
        <v>485</v>
      </c>
    </row>
    <row r="188" spans="2:20">
      <c r="B188" s="3" t="s">
        <v>220</v>
      </c>
      <c r="C188" s="21">
        <v>0</v>
      </c>
      <c r="D188" s="21">
        <v>0</v>
      </c>
      <c r="E188" s="21">
        <v>0</v>
      </c>
      <c r="F188" s="21">
        <v>0</v>
      </c>
      <c r="G188" s="21">
        <v>0</v>
      </c>
      <c r="H188" s="21">
        <v>0</v>
      </c>
      <c r="I188" s="21">
        <v>0</v>
      </c>
      <c r="J188" s="21">
        <v>0</v>
      </c>
      <c r="P188" s="119"/>
      <c r="Q188" s="83"/>
      <c r="R188" s="83"/>
      <c r="T188" s="83"/>
    </row>
    <row r="189" spans="2:20">
      <c r="B189" s="3" t="s">
        <v>15</v>
      </c>
      <c r="C189" s="21">
        <v>913</v>
      </c>
      <c r="D189" s="21">
        <v>943</v>
      </c>
      <c r="E189" s="21">
        <v>1013</v>
      </c>
      <c r="F189" s="21">
        <v>1167</v>
      </c>
      <c r="G189" s="21">
        <v>965</v>
      </c>
      <c r="H189" s="21">
        <v>1214</v>
      </c>
      <c r="I189" s="21">
        <v>926</v>
      </c>
      <c r="J189" s="21">
        <v>1178</v>
      </c>
    </row>
    <row r="190" spans="2:20">
      <c r="B190" s="3" t="s">
        <v>221</v>
      </c>
      <c r="C190" s="21" t="s">
        <v>103</v>
      </c>
      <c r="D190" s="21" t="s">
        <v>103</v>
      </c>
      <c r="E190" s="21" t="s">
        <v>103</v>
      </c>
      <c r="F190" s="21" t="s">
        <v>103</v>
      </c>
      <c r="G190" s="21" t="s">
        <v>103</v>
      </c>
      <c r="H190" s="21" t="s">
        <v>103</v>
      </c>
      <c r="I190" s="21" t="s">
        <v>103</v>
      </c>
      <c r="J190" s="21" t="s">
        <v>103</v>
      </c>
      <c r="P190" s="119"/>
      <c r="Q190" s="83"/>
      <c r="R190" s="83"/>
      <c r="T190" s="83"/>
    </row>
    <row r="191" spans="2:20">
      <c r="B191" s="3" t="s">
        <v>184</v>
      </c>
      <c r="C191" s="21">
        <v>560</v>
      </c>
      <c r="D191" s="21">
        <v>553</v>
      </c>
      <c r="E191" s="21">
        <v>580</v>
      </c>
      <c r="F191" s="21">
        <v>580</v>
      </c>
      <c r="G191" s="21">
        <v>519</v>
      </c>
      <c r="H191" s="21">
        <v>523</v>
      </c>
      <c r="I191" s="21">
        <v>457</v>
      </c>
      <c r="J191" s="21">
        <v>525</v>
      </c>
    </row>
    <row r="192" spans="2:20">
      <c r="B192" s="3" t="s">
        <v>185</v>
      </c>
      <c r="C192" s="21">
        <v>151</v>
      </c>
      <c r="D192" s="21">
        <v>139</v>
      </c>
      <c r="E192" s="21">
        <v>129</v>
      </c>
      <c r="F192" s="21">
        <v>141</v>
      </c>
      <c r="G192" s="21">
        <v>215</v>
      </c>
      <c r="H192" s="21">
        <v>167</v>
      </c>
      <c r="I192" s="21">
        <v>146</v>
      </c>
      <c r="J192" s="21">
        <v>197</v>
      </c>
      <c r="P192" s="119"/>
      <c r="Q192" s="83"/>
      <c r="R192" s="83"/>
      <c r="T192" s="83"/>
    </row>
    <row r="193" spans="2:23">
      <c r="B193" s="3" t="s">
        <v>186</v>
      </c>
      <c r="C193" s="21">
        <v>11029</v>
      </c>
      <c r="D193" s="21">
        <v>11857</v>
      </c>
      <c r="E193" s="21">
        <v>12170</v>
      </c>
      <c r="F193" s="21">
        <v>11713</v>
      </c>
      <c r="G193" s="21">
        <v>10896</v>
      </c>
      <c r="H193" s="21">
        <v>11907</v>
      </c>
      <c r="I193" s="21">
        <v>11151</v>
      </c>
      <c r="J193" s="21">
        <v>11316</v>
      </c>
    </row>
    <row r="194" spans="2:23">
      <c r="B194" s="3" t="s">
        <v>187</v>
      </c>
      <c r="C194" s="21">
        <v>50</v>
      </c>
      <c r="D194" s="21">
        <v>56</v>
      </c>
      <c r="E194" s="21">
        <v>59</v>
      </c>
      <c r="F194" s="21">
        <v>59</v>
      </c>
      <c r="G194" s="21">
        <v>66</v>
      </c>
      <c r="H194" s="21">
        <v>63</v>
      </c>
      <c r="I194" s="21">
        <v>57</v>
      </c>
      <c r="J194" s="21">
        <v>60</v>
      </c>
      <c r="P194" s="119"/>
      <c r="Q194" s="83"/>
      <c r="R194" s="83"/>
      <c r="T194" s="83"/>
    </row>
    <row r="195" spans="2:23">
      <c r="B195" s="3" t="s">
        <v>188</v>
      </c>
      <c r="C195" s="21" t="s">
        <v>103</v>
      </c>
      <c r="D195" s="21" t="s">
        <v>103</v>
      </c>
      <c r="E195" s="21">
        <v>254</v>
      </c>
      <c r="F195" s="21" t="s">
        <v>103</v>
      </c>
      <c r="G195" s="21">
        <v>254</v>
      </c>
      <c r="H195" s="21" t="s">
        <v>103</v>
      </c>
      <c r="I195" s="21">
        <v>254</v>
      </c>
      <c r="J195" s="21" t="s">
        <v>103</v>
      </c>
    </row>
    <row r="196" spans="2:23">
      <c r="B196" s="3" t="s">
        <v>189</v>
      </c>
      <c r="C196" s="21" t="s">
        <v>103</v>
      </c>
      <c r="D196" s="21" t="s">
        <v>103</v>
      </c>
      <c r="E196" s="21">
        <v>1358</v>
      </c>
      <c r="F196" s="21" t="s">
        <v>103</v>
      </c>
      <c r="G196" s="21">
        <v>1279</v>
      </c>
      <c r="H196" s="21" t="s">
        <v>103</v>
      </c>
      <c r="I196" s="21">
        <v>1324</v>
      </c>
      <c r="J196" s="21" t="s">
        <v>103</v>
      </c>
      <c r="P196" s="119"/>
      <c r="Q196" s="83"/>
      <c r="R196" s="83"/>
      <c r="T196" s="83"/>
    </row>
    <row r="197" spans="2:23">
      <c r="B197" s="3" t="s">
        <v>190</v>
      </c>
      <c r="C197" s="21" t="s">
        <v>103</v>
      </c>
      <c r="D197" s="21" t="s">
        <v>103</v>
      </c>
      <c r="E197" s="21">
        <v>5539</v>
      </c>
      <c r="F197" s="21" t="s">
        <v>103</v>
      </c>
      <c r="G197" s="21">
        <v>5209</v>
      </c>
      <c r="H197" s="21" t="s">
        <v>103</v>
      </c>
      <c r="I197" s="21">
        <v>4627</v>
      </c>
      <c r="J197" s="21" t="s">
        <v>103</v>
      </c>
    </row>
    <row r="198" spans="2:23">
      <c r="B198" s="3" t="s">
        <v>191</v>
      </c>
      <c r="C198" s="21" t="s">
        <v>103</v>
      </c>
      <c r="D198" s="21" t="s">
        <v>103</v>
      </c>
      <c r="E198" s="21">
        <v>2183</v>
      </c>
      <c r="F198" s="21" t="s">
        <v>103</v>
      </c>
      <c r="G198" s="21">
        <v>1921</v>
      </c>
      <c r="H198" s="21" t="s">
        <v>103</v>
      </c>
      <c r="I198" s="21">
        <v>1225</v>
      </c>
      <c r="J198" s="21" t="s">
        <v>103</v>
      </c>
    </row>
    <row r="199" spans="2:23">
      <c r="B199" s="3" t="s">
        <v>192</v>
      </c>
      <c r="C199" s="3" t="s">
        <v>103</v>
      </c>
      <c r="D199" s="3" t="s">
        <v>103</v>
      </c>
      <c r="E199" s="3">
        <v>0</v>
      </c>
      <c r="F199" s="3" t="s">
        <v>103</v>
      </c>
      <c r="G199" s="3">
        <v>0</v>
      </c>
      <c r="H199" s="3" t="s">
        <v>103</v>
      </c>
      <c r="I199" s="3">
        <v>0</v>
      </c>
      <c r="J199" s="3" t="s">
        <v>103</v>
      </c>
    </row>
    <row r="200" spans="2:23">
      <c r="B200" s="3" t="s">
        <v>193</v>
      </c>
      <c r="C200" s="21" t="s">
        <v>103</v>
      </c>
      <c r="D200" s="21" t="s">
        <v>103</v>
      </c>
      <c r="E200" s="21">
        <v>-4758</v>
      </c>
      <c r="F200" s="21" t="s">
        <v>103</v>
      </c>
      <c r="G200" s="21">
        <v>-4181</v>
      </c>
      <c r="H200" s="21" t="s">
        <v>103</v>
      </c>
      <c r="I200" s="21">
        <v>-3932</v>
      </c>
      <c r="J200" s="21" t="s">
        <v>103</v>
      </c>
    </row>
    <row r="201" spans="2:23">
      <c r="B201" s="3" t="s">
        <v>194</v>
      </c>
      <c r="C201" s="3" t="s">
        <v>103</v>
      </c>
      <c r="D201" s="3" t="s">
        <v>103</v>
      </c>
      <c r="E201" s="3">
        <v>0</v>
      </c>
      <c r="F201" s="3" t="s">
        <v>103</v>
      </c>
      <c r="G201" s="3">
        <v>0</v>
      </c>
      <c r="H201" s="3" t="s">
        <v>103</v>
      </c>
      <c r="I201" s="3">
        <v>0</v>
      </c>
      <c r="J201" s="3" t="s">
        <v>103</v>
      </c>
    </row>
    <row r="202" spans="2:23">
      <c r="B202" s="3" t="s">
        <v>195</v>
      </c>
      <c r="C202" s="21" t="s">
        <v>103</v>
      </c>
      <c r="D202" s="21" t="s">
        <v>103</v>
      </c>
      <c r="E202" s="21">
        <v>0</v>
      </c>
      <c r="F202" s="21" t="s">
        <v>103</v>
      </c>
      <c r="G202" s="21">
        <v>0</v>
      </c>
      <c r="H202" s="21" t="s">
        <v>103</v>
      </c>
      <c r="I202" s="21">
        <v>0</v>
      </c>
      <c r="J202" s="21" t="s">
        <v>103</v>
      </c>
    </row>
    <row r="203" spans="2:23">
      <c r="B203" s="3" t="s">
        <v>196</v>
      </c>
      <c r="C203" s="21">
        <v>4213</v>
      </c>
      <c r="D203" s="21">
        <v>4383</v>
      </c>
      <c r="E203" s="21">
        <v>4576</v>
      </c>
      <c r="F203" s="21">
        <v>4555</v>
      </c>
      <c r="G203" s="21">
        <v>4482</v>
      </c>
      <c r="H203" s="21">
        <v>3707</v>
      </c>
      <c r="I203" s="21">
        <v>3498</v>
      </c>
      <c r="J203" s="21">
        <v>3546</v>
      </c>
      <c r="P203" s="119"/>
      <c r="W203" s="83"/>
    </row>
    <row r="204" spans="2:23">
      <c r="B204" s="3" t="s">
        <v>197</v>
      </c>
      <c r="C204" s="21">
        <v>101</v>
      </c>
      <c r="D204" s="21">
        <v>96</v>
      </c>
      <c r="E204" s="21">
        <v>99</v>
      </c>
      <c r="F204" s="21">
        <v>161</v>
      </c>
      <c r="G204" s="21">
        <v>168</v>
      </c>
      <c r="H204" s="21">
        <v>161</v>
      </c>
      <c r="I204" s="21">
        <v>161</v>
      </c>
      <c r="J204" s="21">
        <v>162</v>
      </c>
    </row>
    <row r="205" spans="2:23">
      <c r="B205" s="3" t="s">
        <v>198</v>
      </c>
      <c r="C205" s="21">
        <v>32</v>
      </c>
      <c r="D205" s="21">
        <v>35</v>
      </c>
      <c r="E205" s="21">
        <v>38</v>
      </c>
      <c r="F205" s="21">
        <v>41</v>
      </c>
      <c r="G205" s="21">
        <v>44</v>
      </c>
      <c r="H205" s="21">
        <v>47</v>
      </c>
      <c r="I205" s="21">
        <v>50</v>
      </c>
      <c r="J205" s="21">
        <v>53</v>
      </c>
      <c r="P205" s="119"/>
      <c r="W205" s="83"/>
    </row>
    <row r="206" spans="2:23">
      <c r="B206" s="3" t="s">
        <v>199</v>
      </c>
      <c r="C206" s="21">
        <v>520</v>
      </c>
      <c r="D206" s="21">
        <v>526</v>
      </c>
      <c r="E206" s="21">
        <v>531</v>
      </c>
      <c r="F206" s="21">
        <v>585</v>
      </c>
      <c r="G206" s="21">
        <v>690</v>
      </c>
      <c r="H206" s="21">
        <v>1200</v>
      </c>
      <c r="I206" s="21">
        <v>1151</v>
      </c>
      <c r="J206" s="21">
        <v>1025</v>
      </c>
    </row>
    <row r="207" spans="2:23">
      <c r="B207" s="3" t="s">
        <v>200</v>
      </c>
      <c r="C207" s="21">
        <v>663</v>
      </c>
      <c r="D207" s="21">
        <v>667</v>
      </c>
      <c r="E207" s="21">
        <v>678</v>
      </c>
      <c r="F207" s="21">
        <v>796</v>
      </c>
      <c r="G207" s="21">
        <v>911</v>
      </c>
      <c r="H207" s="21">
        <v>1417</v>
      </c>
      <c r="I207" s="21">
        <v>1371</v>
      </c>
      <c r="J207" s="21">
        <v>1248</v>
      </c>
      <c r="P207" s="119"/>
      <c r="W207" s="83"/>
    </row>
    <row r="208" spans="2:23">
      <c r="B208" s="3" t="s">
        <v>18</v>
      </c>
      <c r="C208" s="21">
        <v>15955</v>
      </c>
      <c r="D208" s="21">
        <v>16963</v>
      </c>
      <c r="E208" s="21">
        <v>17482</v>
      </c>
      <c r="F208" s="21">
        <v>17124</v>
      </c>
      <c r="G208" s="21">
        <v>16355</v>
      </c>
      <c r="H208" s="21">
        <v>17095</v>
      </c>
      <c r="I208" s="21">
        <v>16076</v>
      </c>
      <c r="J208" s="21">
        <v>16170</v>
      </c>
    </row>
    <row r="209" spans="2:23">
      <c r="B209" s="3" t="s">
        <v>222</v>
      </c>
      <c r="C209" s="21">
        <v>1665</v>
      </c>
      <c r="D209" s="21">
        <v>1607</v>
      </c>
      <c r="E209" s="21">
        <v>1438</v>
      </c>
      <c r="F209" s="21">
        <v>1432</v>
      </c>
      <c r="G209" s="21">
        <v>1355</v>
      </c>
      <c r="H209" s="21">
        <v>1275</v>
      </c>
      <c r="I209" s="21">
        <v>1152</v>
      </c>
      <c r="J209" s="21">
        <v>1579</v>
      </c>
      <c r="P209" s="119"/>
      <c r="W209" s="83"/>
    </row>
    <row r="210" spans="2:23">
      <c r="B210" s="3" t="s">
        <v>223</v>
      </c>
      <c r="C210" s="21">
        <v>639</v>
      </c>
      <c r="D210" s="3">
        <v>520</v>
      </c>
      <c r="E210" s="3">
        <v>520</v>
      </c>
      <c r="F210" s="3">
        <v>619</v>
      </c>
      <c r="G210" s="3">
        <v>620</v>
      </c>
      <c r="H210" s="3">
        <v>619</v>
      </c>
      <c r="I210" s="21">
        <v>620</v>
      </c>
      <c r="J210" s="21">
        <v>569</v>
      </c>
    </row>
    <row r="211" spans="2:23">
      <c r="B211" s="3" t="s">
        <v>16</v>
      </c>
      <c r="C211" s="21">
        <v>3582</v>
      </c>
      <c r="D211" s="21">
        <v>4434</v>
      </c>
      <c r="E211" s="21">
        <v>4950</v>
      </c>
      <c r="F211" s="21">
        <v>5071</v>
      </c>
      <c r="G211" s="21">
        <v>4539</v>
      </c>
      <c r="H211" s="21">
        <v>5179</v>
      </c>
      <c r="I211" s="21">
        <v>4855</v>
      </c>
      <c r="J211" s="21">
        <v>5022</v>
      </c>
      <c r="P211" s="119"/>
      <c r="W211" s="83"/>
    </row>
    <row r="212" spans="2:23">
      <c r="B212" s="3" t="s">
        <v>201</v>
      </c>
      <c r="C212" s="21">
        <v>0</v>
      </c>
      <c r="D212" s="21">
        <v>0</v>
      </c>
      <c r="E212" s="21">
        <v>0</v>
      </c>
      <c r="F212" s="21">
        <v>0</v>
      </c>
      <c r="G212" s="21">
        <v>0</v>
      </c>
      <c r="H212" s="21">
        <v>0</v>
      </c>
      <c r="I212" s="21">
        <v>0</v>
      </c>
      <c r="J212" s="21">
        <v>0</v>
      </c>
    </row>
    <row r="213" spans="2:23">
      <c r="B213" s="3" t="s">
        <v>202</v>
      </c>
      <c r="C213" s="21">
        <v>0</v>
      </c>
      <c r="D213" s="21">
        <v>0</v>
      </c>
      <c r="E213" s="21">
        <v>0</v>
      </c>
      <c r="F213" s="21">
        <v>0</v>
      </c>
      <c r="G213" s="21">
        <v>0</v>
      </c>
      <c r="H213" s="21">
        <v>0</v>
      </c>
      <c r="I213" s="21">
        <v>0</v>
      </c>
      <c r="J213" s="21">
        <v>0</v>
      </c>
      <c r="P213" s="119"/>
      <c r="W213" s="83"/>
    </row>
    <row r="214" spans="2:23">
      <c r="B214" s="3" t="s">
        <v>203</v>
      </c>
      <c r="C214" s="21">
        <v>921</v>
      </c>
      <c r="D214" s="21">
        <v>517</v>
      </c>
      <c r="E214" s="21">
        <v>608</v>
      </c>
      <c r="F214" s="21">
        <v>713</v>
      </c>
      <c r="G214" s="21">
        <v>1325</v>
      </c>
      <c r="H214" s="21">
        <v>742</v>
      </c>
      <c r="I214" s="21">
        <v>776</v>
      </c>
      <c r="J214" s="21">
        <v>958</v>
      </c>
    </row>
    <row r="215" spans="2:23">
      <c r="B215" s="3" t="s">
        <v>204</v>
      </c>
      <c r="C215" s="21">
        <v>295</v>
      </c>
      <c r="D215" s="21">
        <v>359</v>
      </c>
      <c r="E215" s="21">
        <v>343</v>
      </c>
      <c r="F215" s="21">
        <v>403</v>
      </c>
      <c r="G215" s="21">
        <v>298</v>
      </c>
      <c r="H215" s="21">
        <v>415</v>
      </c>
      <c r="I215" s="21">
        <v>394</v>
      </c>
      <c r="J215" s="21">
        <v>370</v>
      </c>
      <c r="P215" s="119"/>
      <c r="W215" s="83"/>
    </row>
    <row r="216" spans="2:23">
      <c r="B216" s="3" t="s">
        <v>205</v>
      </c>
      <c r="C216" s="21">
        <v>463</v>
      </c>
      <c r="D216" s="21">
        <v>463</v>
      </c>
      <c r="E216" s="21">
        <v>395</v>
      </c>
      <c r="F216" s="21">
        <v>0</v>
      </c>
      <c r="G216" s="21">
        <v>0</v>
      </c>
      <c r="H216" s="21">
        <v>0</v>
      </c>
      <c r="I216" s="21">
        <v>0</v>
      </c>
      <c r="J216" s="21">
        <v>0</v>
      </c>
    </row>
    <row r="217" spans="2:23">
      <c r="B217" s="3" t="s">
        <v>206</v>
      </c>
      <c r="C217" s="21">
        <v>106</v>
      </c>
      <c r="D217" s="21">
        <v>142</v>
      </c>
      <c r="E217" s="21">
        <v>143</v>
      </c>
      <c r="F217" s="21">
        <v>130</v>
      </c>
      <c r="G217" s="21">
        <v>120</v>
      </c>
      <c r="H217" s="21">
        <v>172</v>
      </c>
      <c r="I217" s="21">
        <v>152</v>
      </c>
      <c r="J217" s="21">
        <v>192</v>
      </c>
      <c r="P217" s="119"/>
      <c r="W217" s="83"/>
    </row>
    <row r="218" spans="2:23">
      <c r="B218" s="3" t="s">
        <v>207</v>
      </c>
      <c r="C218" s="21">
        <v>7672</v>
      </c>
      <c r="D218" s="21">
        <v>8041</v>
      </c>
      <c r="E218" s="21">
        <v>8397</v>
      </c>
      <c r="F218" s="21">
        <v>8368</v>
      </c>
      <c r="G218" s="21">
        <v>8256</v>
      </c>
      <c r="H218" s="21">
        <v>8402</v>
      </c>
      <c r="I218" s="21">
        <v>7949</v>
      </c>
      <c r="J218" s="21">
        <v>8692</v>
      </c>
    </row>
    <row r="219" spans="2:23">
      <c r="B219" s="3" t="s">
        <v>208</v>
      </c>
      <c r="C219" s="21">
        <v>1228</v>
      </c>
      <c r="D219" s="21">
        <v>1330</v>
      </c>
      <c r="E219" s="21">
        <v>1488</v>
      </c>
      <c r="F219" s="21">
        <v>1583</v>
      </c>
      <c r="G219" s="21">
        <v>983</v>
      </c>
      <c r="H219" s="21">
        <v>883</v>
      </c>
      <c r="I219" s="21">
        <v>683</v>
      </c>
      <c r="J219" s="21">
        <v>500</v>
      </c>
      <c r="P219" s="119"/>
      <c r="W219" s="83"/>
    </row>
    <row r="220" spans="2:23">
      <c r="B220" s="3" t="s">
        <v>209</v>
      </c>
      <c r="C220" s="21">
        <v>0</v>
      </c>
      <c r="D220" s="21">
        <v>0</v>
      </c>
      <c r="E220" s="21">
        <v>0</v>
      </c>
      <c r="F220" s="21">
        <v>0</v>
      </c>
      <c r="G220" s="21">
        <v>0</v>
      </c>
      <c r="H220" s="21">
        <v>0</v>
      </c>
      <c r="I220" s="21">
        <v>0</v>
      </c>
      <c r="J220" s="21">
        <v>0</v>
      </c>
    </row>
    <row r="221" spans="2:23">
      <c r="B221" s="3" t="s">
        <v>210</v>
      </c>
      <c r="C221" s="21">
        <v>0</v>
      </c>
      <c r="D221" s="21">
        <v>0</v>
      </c>
      <c r="E221" s="21">
        <v>0</v>
      </c>
      <c r="F221" s="21">
        <v>0</v>
      </c>
      <c r="G221" s="21">
        <v>0</v>
      </c>
      <c r="H221" s="21">
        <v>0</v>
      </c>
      <c r="I221" s="21">
        <v>0</v>
      </c>
      <c r="J221" s="21">
        <v>0</v>
      </c>
      <c r="P221" s="119"/>
      <c r="W221" s="83"/>
    </row>
    <row r="222" spans="2:23">
      <c r="B222" s="3" t="s">
        <v>211</v>
      </c>
      <c r="C222" s="21">
        <v>511</v>
      </c>
      <c r="D222" s="21">
        <v>503</v>
      </c>
      <c r="E222" s="21">
        <v>496</v>
      </c>
      <c r="F222" s="21">
        <v>327</v>
      </c>
      <c r="G222" s="21">
        <v>415</v>
      </c>
      <c r="H222" s="21">
        <v>393</v>
      </c>
      <c r="I222" s="21">
        <v>333</v>
      </c>
      <c r="J222" s="21">
        <v>257</v>
      </c>
    </row>
    <row r="223" spans="2:23">
      <c r="B223" s="3" t="s">
        <v>212</v>
      </c>
      <c r="C223" s="21">
        <v>0</v>
      </c>
      <c r="D223" s="21">
        <v>0</v>
      </c>
      <c r="E223" s="21">
        <v>0</v>
      </c>
      <c r="F223" s="21">
        <v>0</v>
      </c>
      <c r="G223" s="21">
        <v>0</v>
      </c>
      <c r="H223" s="21">
        <v>0</v>
      </c>
      <c r="I223" s="21">
        <v>0</v>
      </c>
      <c r="J223" s="21">
        <v>0</v>
      </c>
      <c r="P223" s="119"/>
      <c r="W223" s="83"/>
    </row>
    <row r="224" spans="2:23">
      <c r="B224" s="3" t="s">
        <v>213</v>
      </c>
      <c r="C224" s="21">
        <v>0</v>
      </c>
      <c r="D224" s="3">
        <v>0</v>
      </c>
      <c r="E224" s="3">
        <v>0</v>
      </c>
      <c r="F224" s="21">
        <v>0</v>
      </c>
      <c r="G224" s="21">
        <v>0</v>
      </c>
      <c r="H224" s="21">
        <v>0</v>
      </c>
      <c r="I224" s="21">
        <v>0</v>
      </c>
      <c r="J224" s="3">
        <v>0</v>
      </c>
    </row>
    <row r="225" spans="2:23">
      <c r="B225" s="3" t="s">
        <v>214</v>
      </c>
      <c r="C225" s="21">
        <v>5</v>
      </c>
      <c r="D225" s="21">
        <v>5</v>
      </c>
      <c r="E225" s="21">
        <v>14</v>
      </c>
      <c r="F225" s="21">
        <v>12</v>
      </c>
      <c r="G225" s="21">
        <v>11</v>
      </c>
      <c r="H225" s="21">
        <v>13</v>
      </c>
      <c r="I225" s="21">
        <v>18</v>
      </c>
      <c r="J225" s="21">
        <v>20</v>
      </c>
      <c r="P225" s="119"/>
      <c r="W225" s="83"/>
    </row>
    <row r="226" spans="2:23">
      <c r="B226" s="3" t="s">
        <v>215</v>
      </c>
      <c r="C226" s="21">
        <v>516</v>
      </c>
      <c r="D226" s="21">
        <v>508</v>
      </c>
      <c r="E226" s="21">
        <v>511</v>
      </c>
      <c r="F226" s="21">
        <v>339</v>
      </c>
      <c r="G226" s="21">
        <v>426</v>
      </c>
      <c r="H226" s="21">
        <v>406</v>
      </c>
      <c r="I226" s="21">
        <v>351</v>
      </c>
      <c r="J226" s="21">
        <v>277</v>
      </c>
    </row>
    <row r="227" spans="2:23">
      <c r="B227" s="3" t="s">
        <v>17</v>
      </c>
      <c r="C227" s="21">
        <v>9416</v>
      </c>
      <c r="D227" s="21">
        <v>9879</v>
      </c>
      <c r="E227" s="21">
        <v>10396</v>
      </c>
      <c r="F227" s="21">
        <v>10290</v>
      </c>
      <c r="G227" s="21">
        <v>9665</v>
      </c>
      <c r="H227" s="21">
        <v>9691</v>
      </c>
      <c r="I227" s="21">
        <v>8983</v>
      </c>
      <c r="J227" s="21">
        <v>9468</v>
      </c>
      <c r="P227" s="119"/>
      <c r="W227" s="83"/>
    </row>
    <row r="228" spans="2:23">
      <c r="B228" s="3" t="s">
        <v>216</v>
      </c>
      <c r="C228" s="21">
        <v>6539</v>
      </c>
      <c r="D228" s="21">
        <v>7084</v>
      </c>
      <c r="E228" s="21">
        <v>7086</v>
      </c>
      <c r="F228" s="21">
        <v>6833</v>
      </c>
      <c r="G228" s="21">
        <v>6690</v>
      </c>
      <c r="H228" s="21">
        <v>7404</v>
      </c>
      <c r="I228" s="21">
        <v>7094</v>
      </c>
      <c r="J228" s="21">
        <v>6702</v>
      </c>
    </row>
    <row r="229" spans="2:23">
      <c r="B229" s="3" t="s">
        <v>224</v>
      </c>
      <c r="C229" s="21">
        <v>3180</v>
      </c>
      <c r="D229" s="21">
        <v>3180</v>
      </c>
      <c r="E229" s="21">
        <v>3274</v>
      </c>
      <c r="F229" s="21">
        <v>3274</v>
      </c>
      <c r="G229" s="21">
        <v>3324</v>
      </c>
      <c r="H229" s="21">
        <v>3324</v>
      </c>
      <c r="I229" s="21">
        <v>3324</v>
      </c>
      <c r="J229" s="21">
        <v>3324</v>
      </c>
      <c r="P229" s="119"/>
      <c r="W229" s="83"/>
    </row>
    <row r="230" spans="2:23">
      <c r="B230" s="3" t="s">
        <v>225</v>
      </c>
      <c r="C230" s="21">
        <v>0</v>
      </c>
      <c r="D230" s="21">
        <v>0</v>
      </c>
      <c r="E230" s="21">
        <v>0</v>
      </c>
      <c r="F230" s="21">
        <v>0</v>
      </c>
      <c r="G230" s="21">
        <v>0</v>
      </c>
      <c r="H230" s="21">
        <v>0</v>
      </c>
      <c r="I230" s="21">
        <v>0</v>
      </c>
      <c r="J230" s="21">
        <v>0</v>
      </c>
    </row>
    <row r="231" spans="2:23">
      <c r="B231" s="3" t="s">
        <v>226</v>
      </c>
      <c r="C231" s="21">
        <v>686</v>
      </c>
      <c r="D231" s="21">
        <v>686</v>
      </c>
      <c r="E231" s="21">
        <v>706</v>
      </c>
      <c r="F231" s="21">
        <v>706</v>
      </c>
      <c r="G231" s="21">
        <v>717</v>
      </c>
      <c r="H231" s="21">
        <v>717</v>
      </c>
      <c r="I231" s="21">
        <v>717</v>
      </c>
      <c r="J231" s="21">
        <v>717</v>
      </c>
      <c r="P231" s="119"/>
      <c r="W231" s="83"/>
    </row>
    <row r="232" spans="2:23">
      <c r="B232" s="3" t="s">
        <v>227</v>
      </c>
      <c r="C232" s="21">
        <v>915</v>
      </c>
      <c r="D232" s="21">
        <v>862</v>
      </c>
      <c r="E232" s="21">
        <v>862</v>
      </c>
      <c r="F232" s="21">
        <v>862</v>
      </c>
      <c r="G232" s="21">
        <v>862</v>
      </c>
      <c r="H232" s="21">
        <v>781</v>
      </c>
      <c r="I232" s="21">
        <v>781</v>
      </c>
      <c r="J232" s="21">
        <v>781</v>
      </c>
    </row>
    <row r="233" spans="2:23">
      <c r="B233" s="3" t="s">
        <v>228</v>
      </c>
      <c r="C233" s="21">
        <v>0</v>
      </c>
      <c r="D233" s="21">
        <v>0</v>
      </c>
      <c r="E233" s="21">
        <v>0</v>
      </c>
      <c r="F233" s="21">
        <v>0</v>
      </c>
      <c r="G233" s="21">
        <v>0</v>
      </c>
      <c r="H233" s="21">
        <v>12</v>
      </c>
      <c r="I233" s="21">
        <v>12</v>
      </c>
      <c r="J233" s="21">
        <v>12</v>
      </c>
      <c r="P233" s="119"/>
      <c r="W233" s="83"/>
    </row>
    <row r="234" spans="2:23">
      <c r="B234" s="3" t="s">
        <v>229</v>
      </c>
      <c r="C234" s="21">
        <v>1404</v>
      </c>
      <c r="D234" s="21">
        <v>1767</v>
      </c>
      <c r="E234" s="21">
        <v>1754</v>
      </c>
      <c r="F234" s="21">
        <v>1602</v>
      </c>
      <c r="G234" s="21">
        <v>1637</v>
      </c>
      <c r="H234" s="21">
        <v>2290</v>
      </c>
      <c r="I234" s="21">
        <v>2194</v>
      </c>
      <c r="J234" s="21">
        <v>2006</v>
      </c>
    </row>
    <row r="235" spans="2:23">
      <c r="B235" s="3" t="s">
        <v>230</v>
      </c>
      <c r="C235" s="21">
        <v>0</v>
      </c>
      <c r="D235" s="21">
        <v>0</v>
      </c>
      <c r="E235" s="21">
        <v>0</v>
      </c>
      <c r="F235" s="21">
        <v>0</v>
      </c>
      <c r="G235" s="21">
        <v>0</v>
      </c>
      <c r="H235" s="21">
        <v>0</v>
      </c>
      <c r="I235" s="21">
        <v>0</v>
      </c>
      <c r="J235" s="21">
        <v>0</v>
      </c>
      <c r="P235" s="119"/>
      <c r="W235" s="83"/>
    </row>
    <row r="236" spans="2:23">
      <c r="B236" s="3" t="s">
        <v>217</v>
      </c>
      <c r="C236" s="21">
        <v>0</v>
      </c>
      <c r="D236" s="21">
        <v>0</v>
      </c>
      <c r="E236" s="21">
        <v>0</v>
      </c>
      <c r="F236" s="21">
        <v>0</v>
      </c>
      <c r="G236" s="21">
        <v>0</v>
      </c>
      <c r="H236" s="21">
        <v>0</v>
      </c>
      <c r="I236" s="21">
        <v>0</v>
      </c>
      <c r="J236" s="21">
        <v>0</v>
      </c>
    </row>
    <row r="237" spans="2:23">
      <c r="B237" s="3" t="s">
        <v>218</v>
      </c>
      <c r="C237" s="21">
        <v>15955</v>
      </c>
      <c r="D237" s="21">
        <v>16963</v>
      </c>
      <c r="E237" s="21">
        <v>17482</v>
      </c>
      <c r="F237" s="21">
        <v>17124</v>
      </c>
      <c r="G237" s="21">
        <v>16355</v>
      </c>
      <c r="H237" s="21">
        <v>17095</v>
      </c>
      <c r="I237" s="21">
        <v>16076</v>
      </c>
      <c r="J237" s="21">
        <v>16170</v>
      </c>
      <c r="P237" s="119"/>
      <c r="W237" s="83"/>
    </row>
    <row r="238" spans="2:23">
      <c r="B238" s="3" t="s">
        <v>115</v>
      </c>
      <c r="C238" s="21"/>
      <c r="D238" s="21"/>
      <c r="E238" s="21"/>
      <c r="F238" s="21"/>
      <c r="G238" s="21"/>
      <c r="H238" s="21"/>
      <c r="I238" s="21"/>
      <c r="J238" s="21"/>
    </row>
    <row r="239" spans="2:23">
      <c r="B239" s="3" t="s">
        <v>116</v>
      </c>
      <c r="C239" s="21"/>
      <c r="D239" s="21"/>
      <c r="E239" s="21"/>
      <c r="F239" s="21"/>
      <c r="G239" s="21"/>
      <c r="H239" s="21"/>
      <c r="I239" s="21"/>
      <c r="J239" s="21"/>
      <c r="P239" s="119"/>
      <c r="W239" s="83"/>
    </row>
    <row r="240" spans="2:23">
      <c r="C240" s="21"/>
      <c r="D240" s="21"/>
      <c r="E240" s="21"/>
      <c r="F240" s="21"/>
      <c r="G240" s="21"/>
      <c r="H240" s="21"/>
      <c r="I240" s="21"/>
      <c r="J240" s="21"/>
    </row>
    <row r="241" spans="3:23">
      <c r="C241" s="21"/>
      <c r="D241" s="21"/>
      <c r="E241" s="21"/>
      <c r="F241" s="21"/>
      <c r="G241" s="21"/>
      <c r="H241" s="21"/>
      <c r="I241" s="21"/>
      <c r="J241" s="21"/>
      <c r="P241" s="119"/>
      <c r="W241" s="83"/>
    </row>
    <row r="242" spans="3:23">
      <c r="C242" s="21"/>
      <c r="D242" s="21"/>
      <c r="E242" s="21"/>
      <c r="F242" s="21"/>
      <c r="G242" s="21"/>
      <c r="H242" s="21"/>
      <c r="I242" s="21"/>
      <c r="J242" s="21"/>
    </row>
    <row r="243" spans="3:23">
      <c r="C243" s="21"/>
      <c r="D243" s="21"/>
      <c r="E243" s="21"/>
      <c r="F243" s="21"/>
      <c r="G243" s="21"/>
      <c r="H243" s="21"/>
      <c r="I243" s="21"/>
      <c r="J243" s="21"/>
      <c r="P243" s="119"/>
      <c r="W243" s="83"/>
    </row>
    <row r="244" spans="3:23">
      <c r="C244" s="21"/>
      <c r="D244" s="21"/>
      <c r="E244" s="21"/>
      <c r="F244" s="21"/>
      <c r="G244" s="21"/>
      <c r="H244" s="21"/>
      <c r="I244" s="21"/>
      <c r="J244" s="21"/>
    </row>
    <row r="245" spans="3:23">
      <c r="P245" s="119"/>
      <c r="W245" s="83"/>
    </row>
    <row r="247" spans="3:23">
      <c r="C247" s="21"/>
      <c r="D247" s="21"/>
      <c r="E247" s="21"/>
      <c r="F247" s="21"/>
      <c r="G247" s="21"/>
      <c r="H247" s="21"/>
      <c r="I247" s="21"/>
      <c r="J247" s="21"/>
      <c r="P247" s="119"/>
      <c r="W247" s="83"/>
    </row>
    <row r="248" spans="3:23">
      <c r="C248" s="21"/>
      <c r="D248" s="21"/>
      <c r="E248" s="21"/>
      <c r="F248" s="21"/>
      <c r="G248" s="21"/>
      <c r="H248" s="21"/>
      <c r="I248" s="21"/>
      <c r="J248" s="21"/>
    </row>
    <row r="249" spans="3:23">
      <c r="C249" s="21"/>
      <c r="D249" s="21"/>
      <c r="E249" s="21"/>
      <c r="F249" s="21"/>
      <c r="G249" s="21"/>
      <c r="H249" s="21"/>
      <c r="I249" s="21"/>
      <c r="J249" s="21"/>
      <c r="P249" s="119"/>
      <c r="W249" s="83"/>
    </row>
    <row r="251" spans="3:23">
      <c r="P251" s="119"/>
      <c r="W251" s="83"/>
    </row>
    <row r="253" spans="3:23">
      <c r="P253" s="119"/>
      <c r="W253" s="83"/>
    </row>
    <row r="255" spans="3:23">
      <c r="P255" s="119"/>
      <c r="W255" s="83"/>
    </row>
    <row r="257" spans="3:23">
      <c r="P257" s="119"/>
      <c r="W257" s="83"/>
    </row>
    <row r="259" spans="3:23">
      <c r="P259" s="119"/>
      <c r="W259" s="83"/>
    </row>
    <row r="261" spans="3:23">
      <c r="C261" s="21"/>
      <c r="D261" s="21"/>
      <c r="E261" s="21"/>
      <c r="F261" s="21"/>
      <c r="G261" s="21"/>
      <c r="H261" s="21"/>
      <c r="I261" s="21"/>
      <c r="J261" s="21"/>
      <c r="P261" s="119"/>
      <c r="W261" s="83"/>
    </row>
    <row r="263" spans="3:23">
      <c r="C263" s="21"/>
      <c r="D263" s="21"/>
      <c r="E263" s="21"/>
      <c r="F263" s="21"/>
      <c r="G263" s="21"/>
      <c r="H263" s="21"/>
      <c r="I263" s="21"/>
      <c r="J263" s="21"/>
      <c r="P263" s="119"/>
      <c r="W263" s="83"/>
    </row>
    <row r="265" spans="3:23">
      <c r="P265" s="119"/>
      <c r="W265" s="83"/>
    </row>
    <row r="267" spans="3:23">
      <c r="P267" s="119"/>
      <c r="W267" s="83"/>
    </row>
    <row r="269" spans="3:23">
      <c r="P269" s="119"/>
      <c r="W269" s="83"/>
    </row>
    <row r="271" spans="3:23">
      <c r="P271" s="119"/>
      <c r="W271" s="83"/>
    </row>
    <row r="272" spans="3:23">
      <c r="C272" s="21"/>
      <c r="D272" s="21"/>
      <c r="E272" s="21"/>
      <c r="F272" s="21"/>
      <c r="G272" s="21"/>
      <c r="H272" s="21"/>
      <c r="I272" s="21"/>
    </row>
    <row r="273" spans="3:23">
      <c r="E273" s="21"/>
      <c r="P273" s="119"/>
      <c r="W273" s="83"/>
    </row>
    <row r="274" spans="3:23">
      <c r="E274" s="21"/>
      <c r="I274" s="21"/>
    </row>
    <row r="275" spans="3:23">
      <c r="E275" s="21"/>
      <c r="F275" s="21"/>
      <c r="H275" s="21"/>
      <c r="I275" s="21"/>
      <c r="P275" s="119"/>
      <c r="W275" s="83"/>
    </row>
    <row r="276" spans="3:23">
      <c r="C276" s="21"/>
      <c r="D276" s="21"/>
      <c r="E276" s="21"/>
      <c r="F276" s="21"/>
      <c r="G276" s="21"/>
      <c r="H276" s="21"/>
      <c r="I276" s="21"/>
      <c r="J276" s="21"/>
    </row>
    <row r="277" spans="3:23">
      <c r="P277" s="119"/>
      <c r="W277" s="83"/>
    </row>
    <row r="279" spans="3:23">
      <c r="P279" s="119"/>
      <c r="W279" s="83"/>
    </row>
    <row r="281" spans="3:23">
      <c r="C281" s="21"/>
      <c r="D281" s="21"/>
      <c r="E281" s="21"/>
      <c r="F281" s="21"/>
      <c r="G281" s="21"/>
      <c r="H281" s="21"/>
      <c r="I281" s="21"/>
      <c r="P281" s="119"/>
      <c r="W281" s="83"/>
    </row>
    <row r="283" spans="3:23">
      <c r="C283" s="21"/>
      <c r="D283" s="21"/>
      <c r="E283" s="21"/>
      <c r="F283" s="21"/>
      <c r="G283" s="21"/>
      <c r="P283" s="119"/>
      <c r="W283" s="83"/>
    </row>
    <row r="285" spans="3:23">
      <c r="E285" s="21"/>
      <c r="I285" s="21"/>
      <c r="P285" s="119"/>
      <c r="W285" s="83"/>
    </row>
    <row r="287" spans="3:23">
      <c r="C287" s="21"/>
      <c r="E287" s="21"/>
      <c r="H287" s="21"/>
      <c r="I287" s="21"/>
      <c r="J287" s="21"/>
      <c r="P287" s="119"/>
      <c r="W287" s="83"/>
    </row>
    <row r="288" spans="3:23">
      <c r="G288" s="21"/>
    </row>
    <row r="289" spans="2:23">
      <c r="P289" s="119"/>
      <c r="W289" s="83"/>
    </row>
    <row r="291" spans="2:23">
      <c r="P291" s="119"/>
      <c r="W291" s="83"/>
    </row>
    <row r="293" spans="2:23">
      <c r="C293" s="21"/>
      <c r="G293" s="21"/>
      <c r="H293" s="21"/>
      <c r="I293" s="21"/>
      <c r="J293" s="21"/>
      <c r="P293" s="119"/>
      <c r="W293" s="83"/>
    </row>
    <row r="294" spans="2:23">
      <c r="E294" s="21"/>
      <c r="I294" s="21"/>
      <c r="J294" s="21"/>
    </row>
    <row r="295" spans="2:23">
      <c r="C295" s="21"/>
      <c r="D295" s="21"/>
      <c r="F295" s="21"/>
      <c r="I295" s="21"/>
      <c r="J295" s="21"/>
      <c r="P295" s="119"/>
      <c r="W295" s="83"/>
    </row>
    <row r="296" spans="2:23">
      <c r="C296" s="21"/>
      <c r="D296" s="21"/>
      <c r="E296" s="21"/>
      <c r="F296" s="21"/>
      <c r="G296" s="21"/>
      <c r="H296" s="21"/>
      <c r="I296" s="21"/>
      <c r="J296" s="21"/>
    </row>
    <row r="297" spans="2:23">
      <c r="C297" s="21"/>
      <c r="D297" s="21"/>
      <c r="E297" s="21"/>
      <c r="F297" s="21"/>
      <c r="G297" s="21"/>
      <c r="H297" s="21"/>
      <c r="I297" s="21"/>
      <c r="J297" s="21"/>
      <c r="P297" s="119"/>
      <c r="W297" s="83"/>
    </row>
    <row r="299" spans="2:23">
      <c r="P299" s="119"/>
      <c r="W299" s="83"/>
    </row>
    <row r="301" spans="2:23">
      <c r="B301" s="3" t="s">
        <v>2523</v>
      </c>
      <c r="P301" s="119"/>
      <c r="W301" s="83"/>
    </row>
    <row r="302" spans="2:23">
      <c r="B302" s="3" t="s">
        <v>49</v>
      </c>
    </row>
    <row r="303" spans="2:23">
      <c r="B303" s="3" t="s">
        <v>52</v>
      </c>
      <c r="C303" s="3" t="s">
        <v>263</v>
      </c>
      <c r="D303" s="3" t="s">
        <v>53</v>
      </c>
      <c r="E303" s="3" t="s">
        <v>54</v>
      </c>
      <c r="F303" s="3" t="s">
        <v>55</v>
      </c>
      <c r="G303" s="3" t="s">
        <v>56</v>
      </c>
      <c r="H303" s="3" t="s">
        <v>57</v>
      </c>
      <c r="I303" s="3" t="s">
        <v>58</v>
      </c>
      <c r="J303" s="3" t="s">
        <v>59</v>
      </c>
      <c r="P303" s="119"/>
      <c r="W303" s="83"/>
    </row>
    <row r="304" spans="2:23">
      <c r="B304" s="3" t="s">
        <v>117</v>
      </c>
      <c r="C304" s="21">
        <v>71</v>
      </c>
      <c r="D304" s="21">
        <v>120</v>
      </c>
      <c r="E304" s="21">
        <v>149</v>
      </c>
      <c r="F304" s="21">
        <v>99</v>
      </c>
      <c r="G304" s="21">
        <v>137</v>
      </c>
      <c r="H304" s="21">
        <v>144</v>
      </c>
      <c r="I304" s="21">
        <v>184</v>
      </c>
      <c r="J304" s="21">
        <v>251</v>
      </c>
    </row>
    <row r="305" spans="2:23">
      <c r="B305" s="3" t="s">
        <v>118</v>
      </c>
      <c r="C305" s="3">
        <v>0</v>
      </c>
      <c r="D305" s="3">
        <v>0</v>
      </c>
      <c r="E305" s="3">
        <v>0</v>
      </c>
      <c r="F305" s="3">
        <v>0</v>
      </c>
      <c r="G305" s="3">
        <v>0</v>
      </c>
      <c r="H305" s="3">
        <v>0</v>
      </c>
      <c r="I305" s="3">
        <v>0</v>
      </c>
      <c r="J305" s="3">
        <v>0</v>
      </c>
      <c r="P305" s="119"/>
      <c r="W305" s="83"/>
    </row>
    <row r="306" spans="2:23">
      <c r="B306" s="3" t="s">
        <v>119</v>
      </c>
      <c r="C306" s="21">
        <v>177</v>
      </c>
      <c r="D306" s="21">
        <v>180</v>
      </c>
      <c r="E306" s="21">
        <v>181</v>
      </c>
      <c r="F306" s="21">
        <v>167</v>
      </c>
      <c r="G306" s="21">
        <v>161</v>
      </c>
      <c r="H306" s="21">
        <v>137</v>
      </c>
      <c r="I306" s="21">
        <v>126</v>
      </c>
      <c r="J306" s="21">
        <v>136</v>
      </c>
    </row>
    <row r="307" spans="2:23">
      <c r="B307" s="3" t="s">
        <v>120</v>
      </c>
      <c r="C307" s="3">
        <v>3</v>
      </c>
      <c r="D307" s="3">
        <v>3</v>
      </c>
      <c r="E307" s="3">
        <v>73</v>
      </c>
      <c r="F307" s="3">
        <v>3</v>
      </c>
      <c r="G307" s="3">
        <v>3</v>
      </c>
      <c r="H307" s="3">
        <v>3</v>
      </c>
      <c r="I307" s="3">
        <v>59</v>
      </c>
      <c r="J307" s="3">
        <v>3</v>
      </c>
      <c r="P307" s="119"/>
      <c r="W307" s="83"/>
    </row>
    <row r="308" spans="2:23">
      <c r="B308" s="3" t="s">
        <v>121</v>
      </c>
      <c r="C308" s="3">
        <v>0</v>
      </c>
      <c r="D308" s="21">
        <v>0</v>
      </c>
      <c r="E308" s="3">
        <v>0</v>
      </c>
      <c r="F308" s="21">
        <v>0</v>
      </c>
      <c r="G308" s="21">
        <v>0</v>
      </c>
      <c r="H308" s="3">
        <v>0</v>
      </c>
      <c r="I308" s="21">
        <v>0</v>
      </c>
      <c r="J308" s="21">
        <v>0</v>
      </c>
    </row>
    <row r="309" spans="2:23">
      <c r="B309" s="3" t="s">
        <v>122</v>
      </c>
      <c r="C309" s="3">
        <v>2</v>
      </c>
      <c r="D309" s="3">
        <v>3</v>
      </c>
      <c r="E309" s="3">
        <v>3</v>
      </c>
      <c r="F309" s="3">
        <v>0</v>
      </c>
      <c r="G309" s="3">
        <v>2</v>
      </c>
      <c r="H309" s="3">
        <v>1</v>
      </c>
      <c r="I309" s="3">
        <v>3</v>
      </c>
      <c r="J309" s="3">
        <v>0</v>
      </c>
      <c r="P309" s="119"/>
      <c r="W309" s="83"/>
    </row>
    <row r="310" spans="2:23">
      <c r="B310" s="3" t="s">
        <v>123</v>
      </c>
      <c r="C310" s="3">
        <v>0</v>
      </c>
      <c r="D310" s="3">
        <v>0</v>
      </c>
      <c r="E310" s="3">
        <v>0</v>
      </c>
      <c r="F310" s="3">
        <v>9</v>
      </c>
      <c r="G310" s="3">
        <v>0</v>
      </c>
      <c r="H310" s="3">
        <v>0</v>
      </c>
      <c r="I310" s="3">
        <v>0</v>
      </c>
      <c r="J310" s="3">
        <v>8</v>
      </c>
    </row>
    <row r="311" spans="2:23">
      <c r="B311" s="3" t="s">
        <v>124</v>
      </c>
      <c r="C311" s="3" t="s">
        <v>103</v>
      </c>
      <c r="D311" s="3" t="s">
        <v>103</v>
      </c>
      <c r="E311" s="3" t="s">
        <v>103</v>
      </c>
      <c r="F311" s="3" t="s">
        <v>103</v>
      </c>
      <c r="G311" s="3" t="s">
        <v>103</v>
      </c>
      <c r="H311" s="3" t="s">
        <v>103</v>
      </c>
      <c r="I311" s="3" t="s">
        <v>103</v>
      </c>
      <c r="J311" s="3" t="s">
        <v>103</v>
      </c>
      <c r="P311" s="119"/>
      <c r="W311" s="83"/>
    </row>
    <row r="312" spans="2:23">
      <c r="B312" s="3" t="s">
        <v>125</v>
      </c>
      <c r="C312" s="3">
        <v>0</v>
      </c>
      <c r="D312" s="3">
        <v>1</v>
      </c>
      <c r="E312" s="3">
        <v>0</v>
      </c>
      <c r="F312" s="3">
        <v>0</v>
      </c>
      <c r="G312" s="3">
        <v>0</v>
      </c>
      <c r="H312" s="3">
        <v>1</v>
      </c>
      <c r="I312" s="3">
        <v>7</v>
      </c>
      <c r="J312" s="3">
        <v>13</v>
      </c>
    </row>
    <row r="313" spans="2:23">
      <c r="B313" s="3" t="s">
        <v>126</v>
      </c>
      <c r="C313" s="21">
        <v>0</v>
      </c>
      <c r="D313" s="3">
        <v>-1</v>
      </c>
      <c r="E313" s="3">
        <v>0</v>
      </c>
      <c r="F313" s="3">
        <v>0</v>
      </c>
      <c r="G313" s="21">
        <v>0</v>
      </c>
      <c r="H313" s="3">
        <v>0</v>
      </c>
      <c r="I313" s="3">
        <v>4</v>
      </c>
      <c r="J313" s="3">
        <v>-2</v>
      </c>
      <c r="P313" s="119"/>
      <c r="W313" s="83"/>
    </row>
    <row r="314" spans="2:23">
      <c r="B314" s="3" t="s">
        <v>127</v>
      </c>
      <c r="C314" s="3">
        <v>0</v>
      </c>
      <c r="D314" s="3">
        <v>0</v>
      </c>
      <c r="E314" s="3">
        <v>0</v>
      </c>
      <c r="F314" s="3">
        <v>0</v>
      </c>
      <c r="G314" s="3">
        <v>0</v>
      </c>
      <c r="H314" s="3">
        <v>0</v>
      </c>
      <c r="I314" s="3">
        <v>0</v>
      </c>
      <c r="J314" s="3">
        <v>84</v>
      </c>
    </row>
    <row r="315" spans="2:23">
      <c r="B315" s="3" t="s">
        <v>128</v>
      </c>
      <c r="C315" s="21">
        <v>1411</v>
      </c>
      <c r="D315" s="21">
        <v>-232</v>
      </c>
      <c r="E315" s="21">
        <v>-286</v>
      </c>
      <c r="F315" s="21">
        <v>-439</v>
      </c>
      <c r="G315" s="21">
        <v>460</v>
      </c>
      <c r="H315" s="21">
        <v>-284</v>
      </c>
      <c r="I315" s="21">
        <v>-78</v>
      </c>
      <c r="J315" s="21">
        <v>-713</v>
      </c>
      <c r="P315" s="119"/>
      <c r="W315" s="83"/>
    </row>
    <row r="316" spans="2:23">
      <c r="B316" s="3" t="s">
        <v>129</v>
      </c>
      <c r="C316" s="21">
        <v>29</v>
      </c>
      <c r="D316" s="21">
        <v>71</v>
      </c>
      <c r="E316" s="21">
        <v>154</v>
      </c>
      <c r="F316" s="21">
        <v>-203</v>
      </c>
      <c r="G316" s="21">
        <v>249</v>
      </c>
      <c r="H316" s="21">
        <v>-288</v>
      </c>
      <c r="I316" s="3">
        <v>253</v>
      </c>
      <c r="J316" s="21">
        <v>-261</v>
      </c>
    </row>
    <row r="317" spans="2:23">
      <c r="B317" s="3" t="s">
        <v>130</v>
      </c>
      <c r="C317" s="21">
        <v>-852</v>
      </c>
      <c r="D317" s="21">
        <v>-516</v>
      </c>
      <c r="E317" s="21">
        <v>-121</v>
      </c>
      <c r="F317" s="21">
        <v>532</v>
      </c>
      <c r="G317" s="21">
        <v>-640</v>
      </c>
      <c r="H317" s="21">
        <v>323</v>
      </c>
      <c r="I317" s="21">
        <v>-167</v>
      </c>
      <c r="J317" s="21">
        <v>325</v>
      </c>
      <c r="P317" s="119"/>
      <c r="W317" s="83"/>
    </row>
    <row r="318" spans="2:23">
      <c r="B318" s="3" t="s">
        <v>131</v>
      </c>
      <c r="C318" s="21">
        <v>-161</v>
      </c>
      <c r="D318" s="21">
        <v>6</v>
      </c>
      <c r="E318" s="21">
        <v>131</v>
      </c>
      <c r="F318" s="21">
        <v>155</v>
      </c>
      <c r="G318" s="21">
        <v>-401</v>
      </c>
      <c r="H318" s="21">
        <v>-58</v>
      </c>
      <c r="I318" s="21">
        <v>27</v>
      </c>
      <c r="J318" s="21">
        <v>413</v>
      </c>
    </row>
    <row r="319" spans="2:23">
      <c r="B319" s="3" t="s">
        <v>19</v>
      </c>
      <c r="C319" s="21">
        <v>677</v>
      </c>
      <c r="D319" s="21">
        <v>-363</v>
      </c>
      <c r="E319" s="21">
        <v>287</v>
      </c>
      <c r="F319" s="21">
        <v>328</v>
      </c>
      <c r="G319" s="21">
        <v>-22</v>
      </c>
      <c r="H319" s="21">
        <v>6</v>
      </c>
      <c r="I319" s="21">
        <v>419</v>
      </c>
      <c r="J319" s="21">
        <v>264</v>
      </c>
    </row>
    <row r="320" spans="2:23">
      <c r="B320" s="3" t="s">
        <v>132</v>
      </c>
      <c r="C320" s="21">
        <v>0</v>
      </c>
      <c r="D320" s="21">
        <v>8</v>
      </c>
      <c r="E320" s="3">
        <v>-4</v>
      </c>
      <c r="F320" s="3">
        <v>0</v>
      </c>
      <c r="G320" s="21">
        <v>0</v>
      </c>
      <c r="H320" s="3">
        <v>0</v>
      </c>
      <c r="I320" s="21">
        <v>-5</v>
      </c>
      <c r="J320" s="21">
        <v>-21</v>
      </c>
    </row>
    <row r="321" spans="2:10">
      <c r="B321" s="3" t="s">
        <v>133</v>
      </c>
      <c r="C321" s="21">
        <v>0</v>
      </c>
      <c r="D321" s="3">
        <v>0</v>
      </c>
      <c r="E321" s="3">
        <v>0</v>
      </c>
      <c r="F321" s="3">
        <v>0</v>
      </c>
      <c r="G321" s="21">
        <v>0</v>
      </c>
      <c r="H321" s="3">
        <v>0</v>
      </c>
      <c r="I321" s="3">
        <v>0</v>
      </c>
      <c r="J321" s="3">
        <v>0</v>
      </c>
    </row>
    <row r="322" spans="2:10">
      <c r="B322" s="3" t="s">
        <v>21</v>
      </c>
      <c r="C322" s="3">
        <v>0</v>
      </c>
      <c r="D322" s="3">
        <v>0</v>
      </c>
      <c r="E322" s="3">
        <v>0</v>
      </c>
      <c r="F322" s="3">
        <v>0</v>
      </c>
      <c r="G322" s="3">
        <v>0</v>
      </c>
      <c r="H322" s="3">
        <v>0</v>
      </c>
      <c r="I322" s="3">
        <v>0</v>
      </c>
      <c r="J322" s="3">
        <v>0</v>
      </c>
    </row>
    <row r="323" spans="2:10">
      <c r="B323" s="3" t="s">
        <v>134</v>
      </c>
      <c r="C323" s="3">
        <v>1</v>
      </c>
      <c r="D323" s="3">
        <v>0</v>
      </c>
      <c r="E323" s="3">
        <v>3</v>
      </c>
      <c r="F323" s="3">
        <v>0</v>
      </c>
      <c r="G323" s="3">
        <v>0</v>
      </c>
      <c r="H323" s="3">
        <v>0</v>
      </c>
      <c r="I323" s="3">
        <v>3</v>
      </c>
      <c r="J323" s="3">
        <v>1</v>
      </c>
    </row>
    <row r="324" spans="2:10">
      <c r="B324" s="3" t="s">
        <v>20</v>
      </c>
      <c r="C324" s="21">
        <v>-25</v>
      </c>
      <c r="D324" s="21">
        <v>-33</v>
      </c>
      <c r="E324" s="21">
        <v>-61</v>
      </c>
      <c r="F324" s="21">
        <v>-112</v>
      </c>
      <c r="G324" s="21">
        <v>-508</v>
      </c>
      <c r="H324" s="21">
        <v>-331</v>
      </c>
      <c r="I324" s="21">
        <v>-262</v>
      </c>
      <c r="J324" s="21">
        <v>-198</v>
      </c>
    </row>
    <row r="325" spans="2:10">
      <c r="B325" s="3" t="s">
        <v>135</v>
      </c>
      <c r="C325" s="3">
        <v>-17</v>
      </c>
      <c r="D325" s="3">
        <v>-18</v>
      </c>
      <c r="E325" s="21">
        <v>49</v>
      </c>
      <c r="F325" s="21">
        <v>14</v>
      </c>
      <c r="G325" s="3">
        <v>-10</v>
      </c>
      <c r="H325" s="3">
        <v>-31</v>
      </c>
      <c r="I325" s="3">
        <v>83</v>
      </c>
      <c r="J325" s="21">
        <v>-215</v>
      </c>
    </row>
    <row r="326" spans="2:10">
      <c r="B326" s="3" t="s">
        <v>136</v>
      </c>
      <c r="C326" s="21">
        <v>-40</v>
      </c>
      <c r="D326" s="21">
        <v>-43</v>
      </c>
      <c r="E326" s="21">
        <v>-13</v>
      </c>
      <c r="F326" s="21">
        <v>-98</v>
      </c>
      <c r="G326" s="21">
        <v>-518</v>
      </c>
      <c r="H326" s="21">
        <v>-362</v>
      </c>
      <c r="I326" s="21">
        <v>-181</v>
      </c>
      <c r="J326" s="21">
        <v>-434</v>
      </c>
    </row>
    <row r="327" spans="2:10">
      <c r="B327" s="3" t="s">
        <v>137</v>
      </c>
      <c r="C327" s="21">
        <v>0</v>
      </c>
      <c r="D327" s="3">
        <v>0</v>
      </c>
      <c r="E327" s="3">
        <v>0</v>
      </c>
      <c r="F327" s="3">
        <v>0</v>
      </c>
      <c r="G327" s="3">
        <v>0</v>
      </c>
      <c r="H327" s="3">
        <v>0</v>
      </c>
      <c r="I327" s="21">
        <v>0</v>
      </c>
      <c r="J327" s="21">
        <v>0</v>
      </c>
    </row>
    <row r="328" spans="2:10">
      <c r="B328" s="3" t="s">
        <v>138</v>
      </c>
      <c r="C328" s="3">
        <v>0</v>
      </c>
      <c r="D328" s="3">
        <v>0</v>
      </c>
      <c r="E328" s="21">
        <v>0</v>
      </c>
      <c r="F328" s="21">
        <v>-720</v>
      </c>
      <c r="G328" s="3">
        <v>0</v>
      </c>
      <c r="H328" s="3">
        <v>0</v>
      </c>
      <c r="I328" s="21">
        <v>0</v>
      </c>
      <c r="J328" s="21">
        <v>-811</v>
      </c>
    </row>
    <row r="329" spans="2:10">
      <c r="B329" s="3" t="s">
        <v>139</v>
      </c>
      <c r="C329" s="3">
        <v>0</v>
      </c>
      <c r="D329" s="3">
        <v>0</v>
      </c>
      <c r="E329" s="3">
        <v>0</v>
      </c>
      <c r="F329" s="3">
        <v>0</v>
      </c>
      <c r="G329" s="3">
        <v>0</v>
      </c>
      <c r="H329" s="3">
        <v>0</v>
      </c>
      <c r="I329" s="3">
        <v>0</v>
      </c>
      <c r="J329" s="3">
        <v>0</v>
      </c>
    </row>
    <row r="330" spans="2:10">
      <c r="B330" s="3" t="s">
        <v>140</v>
      </c>
      <c r="C330" s="21">
        <v>178</v>
      </c>
      <c r="D330" s="21">
        <v>168</v>
      </c>
      <c r="E330" s="21">
        <v>-94</v>
      </c>
      <c r="F330" s="21">
        <v>77</v>
      </c>
      <c r="G330" s="21">
        <v>80</v>
      </c>
      <c r="H330" s="21">
        <v>123</v>
      </c>
      <c r="I330" s="21">
        <v>-376</v>
      </c>
      <c r="J330" s="21">
        <v>19</v>
      </c>
    </row>
    <row r="331" spans="2:10">
      <c r="B331" s="3" t="s">
        <v>141</v>
      </c>
      <c r="C331" s="21">
        <v>-102</v>
      </c>
      <c r="D331" s="21">
        <v>-90</v>
      </c>
      <c r="E331" s="21">
        <v>300</v>
      </c>
      <c r="F331" s="21">
        <v>600</v>
      </c>
      <c r="G331" s="21">
        <v>100</v>
      </c>
      <c r="H331" s="21">
        <v>200</v>
      </c>
      <c r="I331" s="21">
        <v>183</v>
      </c>
      <c r="J331" s="21">
        <v>500</v>
      </c>
    </row>
    <row r="332" spans="2:10">
      <c r="B332" s="3" t="s">
        <v>142</v>
      </c>
      <c r="C332" s="3">
        <v>0</v>
      </c>
      <c r="D332" s="3">
        <v>0</v>
      </c>
      <c r="E332" s="21">
        <v>0</v>
      </c>
      <c r="F332" s="21">
        <v>0</v>
      </c>
      <c r="G332" s="3">
        <v>0</v>
      </c>
      <c r="H332" s="3">
        <v>0</v>
      </c>
      <c r="I332" s="3">
        <v>0</v>
      </c>
      <c r="J332" s="21">
        <v>0</v>
      </c>
    </row>
    <row r="333" spans="2:10">
      <c r="B333" s="3" t="s">
        <v>143</v>
      </c>
      <c r="C333" s="3">
        <v>0</v>
      </c>
      <c r="D333" s="3">
        <v>0</v>
      </c>
      <c r="E333" s="3">
        <v>0</v>
      </c>
      <c r="F333" s="3">
        <v>0</v>
      </c>
      <c r="G333" s="3">
        <v>0</v>
      </c>
      <c r="H333" s="3">
        <v>0</v>
      </c>
      <c r="I333" s="3">
        <v>0</v>
      </c>
      <c r="J333" s="3">
        <v>0</v>
      </c>
    </row>
    <row r="334" spans="2:10">
      <c r="B334" s="3" t="s">
        <v>144</v>
      </c>
      <c r="C334" s="3">
        <v>-115</v>
      </c>
      <c r="D334" s="21">
        <v>-9</v>
      </c>
      <c r="E334" s="3">
        <v>-221</v>
      </c>
      <c r="F334" s="3">
        <v>0</v>
      </c>
      <c r="G334" s="3">
        <v>0</v>
      </c>
      <c r="H334" s="3">
        <v>69</v>
      </c>
      <c r="I334" s="3">
        <v>0</v>
      </c>
      <c r="J334" s="3">
        <v>0</v>
      </c>
    </row>
    <row r="335" spans="2:10">
      <c r="B335" s="3" t="s">
        <v>145</v>
      </c>
      <c r="C335" s="21">
        <v>-6</v>
      </c>
      <c r="D335" s="21">
        <v>-3</v>
      </c>
      <c r="E335" s="21">
        <v>11</v>
      </c>
      <c r="F335" s="21">
        <v>0</v>
      </c>
      <c r="G335" s="21">
        <v>-4</v>
      </c>
      <c r="H335" s="21">
        <v>-2</v>
      </c>
      <c r="I335" s="21">
        <v>-64</v>
      </c>
      <c r="J335" s="21">
        <v>72</v>
      </c>
    </row>
    <row r="336" spans="2:10">
      <c r="B336" s="3" t="s">
        <v>146</v>
      </c>
      <c r="C336" s="21">
        <v>-44</v>
      </c>
      <c r="D336" s="21">
        <v>66</v>
      </c>
      <c r="E336" s="21">
        <v>-4</v>
      </c>
      <c r="F336" s="21">
        <v>-44</v>
      </c>
      <c r="G336" s="21">
        <v>176</v>
      </c>
      <c r="H336" s="21">
        <v>390</v>
      </c>
      <c r="I336" s="21">
        <v>-257</v>
      </c>
      <c r="J336" s="21">
        <v>-220</v>
      </c>
    </row>
    <row r="337" spans="2:10">
      <c r="B337" s="3" t="s">
        <v>147</v>
      </c>
      <c r="C337" s="21">
        <v>-73</v>
      </c>
      <c r="D337" s="21">
        <v>57</v>
      </c>
      <c r="E337" s="21">
        <v>-33</v>
      </c>
      <c r="F337" s="21">
        <v>85</v>
      </c>
      <c r="G337" s="21">
        <v>-29</v>
      </c>
      <c r="H337" s="21">
        <v>-5</v>
      </c>
      <c r="I337" s="21">
        <v>187</v>
      </c>
      <c r="J337" s="21">
        <v>-79</v>
      </c>
    </row>
    <row r="338" spans="2:10">
      <c r="B338" s="3" t="s">
        <v>148</v>
      </c>
      <c r="C338" s="21">
        <v>519</v>
      </c>
      <c r="D338" s="21">
        <v>-284</v>
      </c>
      <c r="E338" s="21">
        <v>238</v>
      </c>
      <c r="F338" s="21">
        <v>271</v>
      </c>
      <c r="G338" s="21">
        <v>-393</v>
      </c>
      <c r="H338" s="21">
        <v>30</v>
      </c>
      <c r="I338" s="21">
        <v>167</v>
      </c>
      <c r="J338" s="21">
        <v>-469</v>
      </c>
    </row>
    <row r="339" spans="2:10">
      <c r="B339" s="3" t="s">
        <v>149</v>
      </c>
      <c r="C339" s="21">
        <v>1619</v>
      </c>
      <c r="D339" s="21">
        <v>1903</v>
      </c>
      <c r="E339" s="21">
        <v>1665</v>
      </c>
      <c r="F339" s="21">
        <v>1394</v>
      </c>
      <c r="G339" s="21">
        <v>1787</v>
      </c>
      <c r="H339" s="21">
        <v>1757</v>
      </c>
      <c r="I339" s="21">
        <v>1590</v>
      </c>
      <c r="J339" s="21">
        <v>2059</v>
      </c>
    </row>
    <row r="340" spans="2:10">
      <c r="B340" s="3" t="s">
        <v>150</v>
      </c>
      <c r="C340" s="21">
        <v>2139</v>
      </c>
      <c r="D340" s="21">
        <v>1619</v>
      </c>
      <c r="E340" s="21">
        <v>1903</v>
      </c>
      <c r="F340" s="21">
        <v>1665</v>
      </c>
      <c r="G340" s="21">
        <v>1394</v>
      </c>
      <c r="H340" s="21">
        <v>1787</v>
      </c>
      <c r="I340" s="21">
        <v>1757</v>
      </c>
      <c r="J340" s="21">
        <v>1590</v>
      </c>
    </row>
    <row r="341" spans="2:10">
      <c r="B341" s="3" t="s">
        <v>151</v>
      </c>
      <c r="C341" s="21">
        <v>17</v>
      </c>
      <c r="D341" s="21">
        <v>17</v>
      </c>
      <c r="E341" s="21">
        <v>19</v>
      </c>
      <c r="F341" s="21">
        <v>19</v>
      </c>
      <c r="G341" s="21">
        <v>18</v>
      </c>
      <c r="H341" s="3">
        <v>16</v>
      </c>
      <c r="I341" s="3">
        <v>11</v>
      </c>
      <c r="J341" s="3">
        <v>12</v>
      </c>
    </row>
    <row r="342" spans="2:10">
      <c r="B342" s="3" t="s">
        <v>152</v>
      </c>
      <c r="C342" s="3" t="s">
        <v>103</v>
      </c>
      <c r="D342" s="3" t="s">
        <v>103</v>
      </c>
      <c r="E342" s="3" t="s">
        <v>103</v>
      </c>
      <c r="F342" s="3" t="s">
        <v>103</v>
      </c>
      <c r="G342" s="3" t="s">
        <v>103</v>
      </c>
      <c r="H342" s="3" t="s">
        <v>103</v>
      </c>
      <c r="I342" s="3" t="s">
        <v>103</v>
      </c>
      <c r="J342" s="3" t="s">
        <v>103</v>
      </c>
    </row>
    <row r="343" spans="2:10">
      <c r="B343" s="3" t="s">
        <v>153</v>
      </c>
    </row>
    <row r="344" spans="2:10">
      <c r="B344" s="3" t="s">
        <v>154</v>
      </c>
    </row>
    <row r="345" spans="2:10">
      <c r="B345" s="3" t="s">
        <v>115</v>
      </c>
    </row>
    <row r="346" spans="2:10">
      <c r="B346" s="3" t="s">
        <v>116</v>
      </c>
    </row>
  </sheetData>
  <mergeCells count="31">
    <mergeCell ref="O46:P46"/>
    <mergeCell ref="O45:Y45"/>
    <mergeCell ref="W2:X2"/>
    <mergeCell ref="W22:W23"/>
    <mergeCell ref="X22:X23"/>
    <mergeCell ref="V41:V44"/>
    <mergeCell ref="W41:W44"/>
    <mergeCell ref="Y39:Y40"/>
    <mergeCell ref="P39:P40"/>
    <mergeCell ref="Q39:Q40"/>
    <mergeCell ref="R39:R40"/>
    <mergeCell ref="S39:S40"/>
    <mergeCell ref="O41:O44"/>
    <mergeCell ref="P41:P44"/>
    <mergeCell ref="O39:O40"/>
    <mergeCell ref="Q41:Q44"/>
    <mergeCell ref="W1:Y1"/>
    <mergeCell ref="N32:N33"/>
    <mergeCell ref="W31:X31"/>
    <mergeCell ref="W32:X32"/>
    <mergeCell ref="O38:P38"/>
    <mergeCell ref="R41:R44"/>
    <mergeCell ref="S41:S44"/>
    <mergeCell ref="T41:T44"/>
    <mergeCell ref="U41:U44"/>
    <mergeCell ref="X41:X44"/>
    <mergeCell ref="T39:T40"/>
    <mergeCell ref="U39:U40"/>
    <mergeCell ref="V39:V40"/>
    <mergeCell ref="W39:W40"/>
    <mergeCell ref="X39:X40"/>
  </mergeCells>
  <phoneticPr fontId="2" type="noConversion"/>
  <hyperlinks>
    <hyperlink ref="N41" r:id="rId1" display="https://tw.stock.yahoo.com/q/bc?s=6213"/>
    <hyperlink ref="N42" r:id="rId2" display="https://tw.stock.yahoo.com/pf/pfsel?stocklist=6213;"/>
    <hyperlink ref="N44" r:id="rId3" display="https://tw.stock.yahoo.com/pf/pfsel?stocklist=6213;"/>
    <hyperlink ref="Y41" r:id="rId4" display="https://tw.stock.yahoo.com/q/ts?s=6213"/>
    <hyperlink ref="Y44" r:id="rId5" display="https://tw.rd.yahoo.com/referurl/stock/other/SIG=125v47s73/**https:/tw.screener.finance.yahoo.net/screener/check.html?symid=6213"/>
    <hyperlink ref="O45" r:id="rId6" display="javascript: CheckP(document.orderform, 'Z', '/fcgi-bin/orderpage.fcg');"/>
  </hyperlinks>
  <pageMargins left="0.7" right="0.7" top="0.75" bottom="0.75" header="0.3" footer="0.3"/>
  <pageSetup paperSize="9" orientation="portrait" r:id="rId7"/>
  <drawing r:id="rId8"/>
  <legacyDrawing r:id="rId9"/>
  <controls>
    <mc:AlternateContent xmlns:mc="http://schemas.openxmlformats.org/markup-compatibility/2006">
      <mc:Choice Requires="x14">
        <control shapeId="1068" r:id="rId10" name="CommandButton30">
          <controlPr defaultSize="0" autoLine="0" autoPict="0" r:id="rId11">
            <anchor moveWithCells="1">
              <from>
                <xdr:col>30</xdr:col>
                <xdr:colOff>9525</xdr:colOff>
                <xdr:row>0</xdr:row>
                <xdr:rowOff>0</xdr:rowOff>
              </from>
              <to>
                <xdr:col>30</xdr:col>
                <xdr:colOff>590550</xdr:colOff>
                <xdr:row>0</xdr:row>
                <xdr:rowOff>342900</xdr:rowOff>
              </to>
            </anchor>
          </controlPr>
        </control>
      </mc:Choice>
      <mc:Fallback>
        <control shapeId="1068" r:id="rId10" name="CommandButton30"/>
      </mc:Fallback>
    </mc:AlternateContent>
    <mc:AlternateContent xmlns:mc="http://schemas.openxmlformats.org/markup-compatibility/2006">
      <mc:Choice Requires="x14">
        <control shapeId="1066" r:id="rId12" name="CommandButton29">
          <controlPr defaultSize="0" autoLine="0" r:id="rId13">
            <anchor moveWithCells="1">
              <from>
                <xdr:col>8</xdr:col>
                <xdr:colOff>495300</xdr:colOff>
                <xdr:row>0</xdr:row>
                <xdr:rowOff>19050</xdr:rowOff>
              </from>
              <to>
                <xdr:col>9</xdr:col>
                <xdr:colOff>438150</xdr:colOff>
                <xdr:row>0</xdr:row>
                <xdr:rowOff>342900</xdr:rowOff>
              </to>
            </anchor>
          </controlPr>
        </control>
      </mc:Choice>
      <mc:Fallback>
        <control shapeId="1066" r:id="rId12" name="CommandButton29"/>
      </mc:Fallback>
    </mc:AlternateContent>
    <mc:AlternateContent xmlns:mc="http://schemas.openxmlformats.org/markup-compatibility/2006">
      <mc:Choice Requires="x14">
        <control shapeId="1065" r:id="rId14" name="CommandButton28">
          <controlPr defaultSize="0" autoLine="0" autoPict="0" r:id="rId15">
            <anchor moveWithCells="1">
              <from>
                <xdr:col>28</xdr:col>
                <xdr:colOff>19050</xdr:colOff>
                <xdr:row>22</xdr:row>
                <xdr:rowOff>85725</xdr:rowOff>
              </from>
              <to>
                <xdr:col>29</xdr:col>
                <xdr:colOff>600075</xdr:colOff>
                <xdr:row>24</xdr:row>
                <xdr:rowOff>85725</xdr:rowOff>
              </to>
            </anchor>
          </controlPr>
        </control>
      </mc:Choice>
      <mc:Fallback>
        <control shapeId="1065" r:id="rId14" name="CommandButton28"/>
      </mc:Fallback>
    </mc:AlternateContent>
    <mc:AlternateContent xmlns:mc="http://schemas.openxmlformats.org/markup-compatibility/2006">
      <mc:Choice Requires="x14">
        <control shapeId="1063" r:id="rId16" name="CommandButton27">
          <controlPr defaultSize="0" autoLine="0" autoPict="0" r:id="rId17">
            <anchor moveWithCells="1">
              <from>
                <xdr:col>28</xdr:col>
                <xdr:colOff>9525</xdr:colOff>
                <xdr:row>20</xdr:row>
                <xdr:rowOff>66675</xdr:rowOff>
              </from>
              <to>
                <xdr:col>29</xdr:col>
                <xdr:colOff>571500</xdr:colOff>
                <xdr:row>22</xdr:row>
                <xdr:rowOff>57150</xdr:rowOff>
              </to>
            </anchor>
          </controlPr>
        </control>
      </mc:Choice>
      <mc:Fallback>
        <control shapeId="1063" r:id="rId16" name="CommandButton27"/>
      </mc:Fallback>
    </mc:AlternateContent>
    <mc:AlternateContent xmlns:mc="http://schemas.openxmlformats.org/markup-compatibility/2006">
      <mc:Choice Requires="x14">
        <control shapeId="1061" r:id="rId18" name="CommandButton26">
          <controlPr defaultSize="0" autoLine="0" autoPict="0" r:id="rId19">
            <anchor moveWithCells="1">
              <from>
                <xdr:col>28</xdr:col>
                <xdr:colOff>28575</xdr:colOff>
                <xdr:row>26</xdr:row>
                <xdr:rowOff>114300</xdr:rowOff>
              </from>
              <to>
                <xdr:col>29</xdr:col>
                <xdr:colOff>600075</xdr:colOff>
                <xdr:row>28</xdr:row>
                <xdr:rowOff>114300</xdr:rowOff>
              </to>
            </anchor>
          </controlPr>
        </control>
      </mc:Choice>
      <mc:Fallback>
        <control shapeId="1061" r:id="rId18" name="CommandButton26"/>
      </mc:Fallback>
    </mc:AlternateContent>
    <mc:AlternateContent xmlns:mc="http://schemas.openxmlformats.org/markup-compatibility/2006">
      <mc:Choice Requires="x14">
        <control shapeId="1055" r:id="rId20" name="CommandButton21">
          <controlPr defaultSize="0" autoLine="0" autoPict="0" r:id="rId21">
            <anchor moveWithCells="1">
              <from>
                <xdr:col>27</xdr:col>
                <xdr:colOff>47625</xdr:colOff>
                <xdr:row>22</xdr:row>
                <xdr:rowOff>66675</xdr:rowOff>
              </from>
              <to>
                <xdr:col>27</xdr:col>
                <xdr:colOff>1314450</xdr:colOff>
                <xdr:row>24</xdr:row>
                <xdr:rowOff>57150</xdr:rowOff>
              </to>
            </anchor>
          </controlPr>
        </control>
      </mc:Choice>
      <mc:Fallback>
        <control shapeId="1055" r:id="rId20" name="CommandButton21"/>
      </mc:Fallback>
    </mc:AlternateContent>
    <mc:AlternateContent xmlns:mc="http://schemas.openxmlformats.org/markup-compatibility/2006">
      <mc:Choice Requires="x14">
        <control shapeId="1054" r:id="rId22" name="CommandButton20">
          <controlPr defaultSize="0" autoLine="0" autoPict="0" r:id="rId23">
            <anchor moveWithCells="1">
              <from>
                <xdr:col>27</xdr:col>
                <xdr:colOff>1304925</xdr:colOff>
                <xdr:row>0</xdr:row>
                <xdr:rowOff>0</xdr:rowOff>
              </from>
              <to>
                <xdr:col>30</xdr:col>
                <xdr:colOff>0</xdr:colOff>
                <xdr:row>0</xdr:row>
                <xdr:rowOff>342900</xdr:rowOff>
              </to>
            </anchor>
          </controlPr>
        </control>
      </mc:Choice>
      <mc:Fallback>
        <control shapeId="1054" r:id="rId22" name="CommandButton20"/>
      </mc:Fallback>
    </mc:AlternateContent>
    <mc:AlternateContent xmlns:mc="http://schemas.openxmlformats.org/markup-compatibility/2006">
      <mc:Choice Requires="x14">
        <control shapeId="1053" r:id="rId24" name="CommandButton19">
          <controlPr defaultSize="0" autoLine="0" autoPict="0" r:id="rId25">
            <anchor moveWithCells="1">
              <from>
                <xdr:col>27</xdr:col>
                <xdr:colOff>47625</xdr:colOff>
                <xdr:row>26</xdr:row>
                <xdr:rowOff>85725</xdr:rowOff>
              </from>
              <to>
                <xdr:col>28</xdr:col>
                <xdr:colOff>0</xdr:colOff>
                <xdr:row>28</xdr:row>
                <xdr:rowOff>85725</xdr:rowOff>
              </to>
            </anchor>
          </controlPr>
        </control>
      </mc:Choice>
      <mc:Fallback>
        <control shapeId="1053" r:id="rId24" name="CommandButton19"/>
      </mc:Fallback>
    </mc:AlternateContent>
    <mc:AlternateContent xmlns:mc="http://schemas.openxmlformats.org/markup-compatibility/2006">
      <mc:Choice Requires="x14">
        <control shapeId="1052" r:id="rId26" name="CommandButton18">
          <controlPr defaultSize="0" autoLine="0" autoPict="0" r:id="rId27">
            <anchor moveWithCells="1">
              <from>
                <xdr:col>28</xdr:col>
                <xdr:colOff>19050</xdr:colOff>
                <xdr:row>16</xdr:row>
                <xdr:rowOff>38100</xdr:rowOff>
              </from>
              <to>
                <xdr:col>29</xdr:col>
                <xdr:colOff>628650</xdr:colOff>
                <xdr:row>18</xdr:row>
                <xdr:rowOff>38100</xdr:rowOff>
              </to>
            </anchor>
          </controlPr>
        </control>
      </mc:Choice>
      <mc:Fallback>
        <control shapeId="1052" r:id="rId26" name="CommandButton18"/>
      </mc:Fallback>
    </mc:AlternateContent>
    <mc:AlternateContent xmlns:mc="http://schemas.openxmlformats.org/markup-compatibility/2006">
      <mc:Choice Requires="x14">
        <control shapeId="1051" r:id="rId28" name="CommandButton17">
          <controlPr defaultSize="0" autoLine="0" autoPict="0" r:id="rId29">
            <anchor moveWithCells="1">
              <from>
                <xdr:col>28</xdr:col>
                <xdr:colOff>19050</xdr:colOff>
                <xdr:row>18</xdr:row>
                <xdr:rowOff>47625</xdr:rowOff>
              </from>
              <to>
                <xdr:col>29</xdr:col>
                <xdr:colOff>609600</xdr:colOff>
                <xdr:row>20</xdr:row>
                <xdr:rowOff>47625</xdr:rowOff>
              </to>
            </anchor>
          </controlPr>
        </control>
      </mc:Choice>
      <mc:Fallback>
        <control shapeId="1051" r:id="rId28" name="CommandButton17"/>
      </mc:Fallback>
    </mc:AlternateContent>
    <mc:AlternateContent xmlns:mc="http://schemas.openxmlformats.org/markup-compatibility/2006">
      <mc:Choice Requires="x14">
        <control shapeId="1050" r:id="rId30" name="CommandButton16">
          <controlPr defaultSize="0" autoLine="0" autoPict="0" r:id="rId31">
            <anchor moveWithCells="1">
              <from>
                <xdr:col>27</xdr:col>
                <xdr:colOff>47625</xdr:colOff>
                <xdr:row>16</xdr:row>
                <xdr:rowOff>38100</xdr:rowOff>
              </from>
              <to>
                <xdr:col>27</xdr:col>
                <xdr:colOff>1295400</xdr:colOff>
                <xdr:row>18</xdr:row>
                <xdr:rowOff>19050</xdr:rowOff>
              </to>
            </anchor>
          </controlPr>
        </control>
      </mc:Choice>
      <mc:Fallback>
        <control shapeId="1050" r:id="rId30" name="CommandButton16"/>
      </mc:Fallback>
    </mc:AlternateContent>
    <mc:AlternateContent xmlns:mc="http://schemas.openxmlformats.org/markup-compatibility/2006">
      <mc:Choice Requires="x14">
        <control shapeId="1049" r:id="rId32" name="CommandButton15">
          <controlPr defaultSize="0" autoLine="0" autoPict="0" r:id="rId33">
            <anchor moveWithCells="1">
              <from>
                <xdr:col>27</xdr:col>
                <xdr:colOff>47625</xdr:colOff>
                <xdr:row>28</xdr:row>
                <xdr:rowOff>95250</xdr:rowOff>
              </from>
              <to>
                <xdr:col>29</xdr:col>
                <xdr:colOff>571500</xdr:colOff>
                <xdr:row>30</xdr:row>
                <xdr:rowOff>85725</xdr:rowOff>
              </to>
            </anchor>
          </controlPr>
        </control>
      </mc:Choice>
      <mc:Fallback>
        <control shapeId="1049" r:id="rId32" name="CommandButton15"/>
      </mc:Fallback>
    </mc:AlternateContent>
    <mc:AlternateContent xmlns:mc="http://schemas.openxmlformats.org/markup-compatibility/2006">
      <mc:Choice Requires="x14">
        <control shapeId="1047" r:id="rId34" name="CommandButton14">
          <controlPr defaultSize="0" autoLine="0" autoPict="0" r:id="rId35">
            <anchor moveWithCells="1">
              <from>
                <xdr:col>27</xdr:col>
                <xdr:colOff>47625</xdr:colOff>
                <xdr:row>30</xdr:row>
                <xdr:rowOff>95250</xdr:rowOff>
              </from>
              <to>
                <xdr:col>29</xdr:col>
                <xdr:colOff>600075</xdr:colOff>
                <xdr:row>32</xdr:row>
                <xdr:rowOff>85725</xdr:rowOff>
              </to>
            </anchor>
          </controlPr>
        </control>
      </mc:Choice>
      <mc:Fallback>
        <control shapeId="1047" r:id="rId34" name="CommandButton14"/>
      </mc:Fallback>
    </mc:AlternateContent>
    <mc:AlternateContent xmlns:mc="http://schemas.openxmlformats.org/markup-compatibility/2006">
      <mc:Choice Requires="x14">
        <control shapeId="1045" r:id="rId36" name="CommandButton13">
          <controlPr defaultSize="0" autoLine="0" autoPict="0" r:id="rId37">
            <anchor moveWithCells="1">
              <from>
                <xdr:col>27</xdr:col>
                <xdr:colOff>47625</xdr:colOff>
                <xdr:row>24</xdr:row>
                <xdr:rowOff>76200</xdr:rowOff>
              </from>
              <to>
                <xdr:col>27</xdr:col>
                <xdr:colOff>1295400</xdr:colOff>
                <xdr:row>26</xdr:row>
                <xdr:rowOff>57150</xdr:rowOff>
              </to>
            </anchor>
          </controlPr>
        </control>
      </mc:Choice>
      <mc:Fallback>
        <control shapeId="1045" r:id="rId36" name="CommandButton13"/>
      </mc:Fallback>
    </mc:AlternateContent>
    <mc:AlternateContent xmlns:mc="http://schemas.openxmlformats.org/markup-compatibility/2006">
      <mc:Choice Requires="x14">
        <control shapeId="1044" r:id="rId38" name="CommandButton12">
          <controlPr defaultSize="0" autoLine="0" autoPict="0" r:id="rId39">
            <anchor moveWithCells="1">
              <from>
                <xdr:col>28</xdr:col>
                <xdr:colOff>19050</xdr:colOff>
                <xdr:row>24</xdr:row>
                <xdr:rowOff>95250</xdr:rowOff>
              </from>
              <to>
                <xdr:col>29</xdr:col>
                <xdr:colOff>609600</xdr:colOff>
                <xdr:row>26</xdr:row>
                <xdr:rowOff>95250</xdr:rowOff>
              </to>
            </anchor>
          </controlPr>
        </control>
      </mc:Choice>
      <mc:Fallback>
        <control shapeId="1044" r:id="rId38" name="CommandButton12"/>
      </mc:Fallback>
    </mc:AlternateContent>
    <mc:AlternateContent xmlns:mc="http://schemas.openxmlformats.org/markup-compatibility/2006">
      <mc:Choice Requires="x14">
        <control shapeId="1042" r:id="rId40" name="CommandButton11">
          <controlPr defaultSize="0" autoLine="0" autoPict="0" r:id="rId41">
            <anchor moveWithCells="1">
              <from>
                <xdr:col>27</xdr:col>
                <xdr:colOff>47625</xdr:colOff>
                <xdr:row>32</xdr:row>
                <xdr:rowOff>114300</xdr:rowOff>
              </from>
              <to>
                <xdr:col>29</xdr:col>
                <xdr:colOff>600075</xdr:colOff>
                <xdr:row>34</xdr:row>
                <xdr:rowOff>114300</xdr:rowOff>
              </to>
            </anchor>
          </controlPr>
        </control>
      </mc:Choice>
      <mc:Fallback>
        <control shapeId="1042" r:id="rId40" name="CommandButton11"/>
      </mc:Fallback>
    </mc:AlternateContent>
    <mc:AlternateContent xmlns:mc="http://schemas.openxmlformats.org/markup-compatibility/2006">
      <mc:Choice Requires="x14">
        <control shapeId="1034" r:id="rId42" name="CommandButton0">
          <controlPr defaultSize="0" autoLine="0" autoPict="0" r:id="rId43">
            <anchor moveWithCells="1">
              <from>
                <xdr:col>27</xdr:col>
                <xdr:colOff>19050</xdr:colOff>
                <xdr:row>0</xdr:row>
                <xdr:rowOff>0</xdr:rowOff>
              </from>
              <to>
                <xdr:col>27</xdr:col>
                <xdr:colOff>590550</xdr:colOff>
                <xdr:row>0</xdr:row>
                <xdr:rowOff>342900</xdr:rowOff>
              </to>
            </anchor>
          </controlPr>
        </control>
      </mc:Choice>
      <mc:Fallback>
        <control shapeId="1034" r:id="rId42" name="CommandButton0"/>
      </mc:Fallback>
    </mc:AlternateContent>
    <mc:AlternateContent xmlns:mc="http://schemas.openxmlformats.org/markup-compatibility/2006">
      <mc:Choice Requires="x14">
        <control shapeId="1033" r:id="rId44" name="CommandButton9">
          <controlPr defaultSize="0" autoLine="0" autoPict="0" r:id="rId45">
            <anchor moveWithCells="1">
              <from>
                <xdr:col>27</xdr:col>
                <xdr:colOff>66675</xdr:colOff>
                <xdr:row>34</xdr:row>
                <xdr:rowOff>161925</xdr:rowOff>
              </from>
              <to>
                <xdr:col>29</xdr:col>
                <xdr:colOff>609600</xdr:colOff>
                <xdr:row>36</xdr:row>
                <xdr:rowOff>161925</xdr:rowOff>
              </to>
            </anchor>
          </controlPr>
        </control>
      </mc:Choice>
      <mc:Fallback>
        <control shapeId="1033" r:id="rId44" name="CommandButton9"/>
      </mc:Fallback>
    </mc:AlternateContent>
    <mc:AlternateContent xmlns:mc="http://schemas.openxmlformats.org/markup-compatibility/2006">
      <mc:Choice Requires="x14">
        <control shapeId="1032" r:id="rId46" name="CommandButton8">
          <controlPr defaultSize="0" autoLine="0" autoPict="0" r:id="rId47">
            <anchor moveWithCells="1">
              <from>
                <xdr:col>13</xdr:col>
                <xdr:colOff>28575</xdr:colOff>
                <xdr:row>0</xdr:row>
                <xdr:rowOff>0</xdr:rowOff>
              </from>
              <to>
                <xdr:col>13</xdr:col>
                <xdr:colOff>1085850</xdr:colOff>
                <xdr:row>1</xdr:row>
                <xdr:rowOff>0</xdr:rowOff>
              </to>
            </anchor>
          </controlPr>
        </control>
      </mc:Choice>
      <mc:Fallback>
        <control shapeId="1032" r:id="rId46" name="CommandButton8"/>
      </mc:Fallback>
    </mc:AlternateContent>
    <mc:AlternateContent xmlns:mc="http://schemas.openxmlformats.org/markup-compatibility/2006">
      <mc:Choice Requires="x14">
        <control shapeId="1031" r:id="rId48" name="CommandButton7">
          <controlPr defaultSize="0" autoLine="0" r:id="rId49">
            <anchor moveWithCells="1">
              <from>
                <xdr:col>8</xdr:col>
                <xdr:colOff>0</xdr:colOff>
                <xdr:row>0</xdr:row>
                <xdr:rowOff>19050</xdr:rowOff>
              </from>
              <to>
                <xdr:col>8</xdr:col>
                <xdr:colOff>828675</xdr:colOff>
                <xdr:row>0</xdr:row>
                <xdr:rowOff>342900</xdr:rowOff>
              </to>
            </anchor>
          </controlPr>
        </control>
      </mc:Choice>
      <mc:Fallback>
        <control shapeId="1031" r:id="rId48" name="CommandButton7"/>
      </mc:Fallback>
    </mc:AlternateContent>
    <mc:AlternateContent xmlns:mc="http://schemas.openxmlformats.org/markup-compatibility/2006">
      <mc:Choice Requires="x14">
        <control shapeId="1030" r:id="rId50" name="CommandButton6">
          <controlPr defaultSize="0" autoLine="0" r:id="rId51">
            <anchor moveWithCells="1">
              <from>
                <xdr:col>7</xdr:col>
                <xdr:colOff>0</xdr:colOff>
                <xdr:row>0</xdr:row>
                <xdr:rowOff>19050</xdr:rowOff>
              </from>
              <to>
                <xdr:col>7</xdr:col>
                <xdr:colOff>838200</xdr:colOff>
                <xdr:row>1</xdr:row>
                <xdr:rowOff>0</xdr:rowOff>
              </to>
            </anchor>
          </controlPr>
        </control>
      </mc:Choice>
      <mc:Fallback>
        <control shapeId="1030" r:id="rId50" name="CommandButton6"/>
      </mc:Fallback>
    </mc:AlternateContent>
    <mc:AlternateContent xmlns:mc="http://schemas.openxmlformats.org/markup-compatibility/2006">
      <mc:Choice Requires="x14">
        <control shapeId="1029" r:id="rId52" name="CommandButton5">
          <controlPr defaultSize="0" autoLine="0" r:id="rId53">
            <anchor moveWithCells="1">
              <from>
                <xdr:col>5</xdr:col>
                <xdr:colOff>0</xdr:colOff>
                <xdr:row>0</xdr:row>
                <xdr:rowOff>19050</xdr:rowOff>
              </from>
              <to>
                <xdr:col>5</xdr:col>
                <xdr:colOff>838200</xdr:colOff>
                <xdr:row>0</xdr:row>
                <xdr:rowOff>342900</xdr:rowOff>
              </to>
            </anchor>
          </controlPr>
        </control>
      </mc:Choice>
      <mc:Fallback>
        <control shapeId="1029" r:id="rId52" name="CommandButton5"/>
      </mc:Fallback>
    </mc:AlternateContent>
    <mc:AlternateContent xmlns:mc="http://schemas.openxmlformats.org/markup-compatibility/2006">
      <mc:Choice Requires="x14">
        <control shapeId="1028" r:id="rId54" name="CommandButton4">
          <controlPr defaultSize="0" autoLine="0" r:id="rId55">
            <anchor moveWithCells="1">
              <from>
                <xdr:col>6</xdr:col>
                <xdr:colOff>0</xdr:colOff>
                <xdr:row>0</xdr:row>
                <xdr:rowOff>19050</xdr:rowOff>
              </from>
              <to>
                <xdr:col>6</xdr:col>
                <xdr:colOff>838200</xdr:colOff>
                <xdr:row>1</xdr:row>
                <xdr:rowOff>0</xdr:rowOff>
              </to>
            </anchor>
          </controlPr>
        </control>
      </mc:Choice>
      <mc:Fallback>
        <control shapeId="1028" r:id="rId54" name="CommandButton4"/>
      </mc:Fallback>
    </mc:AlternateContent>
    <mc:AlternateContent xmlns:mc="http://schemas.openxmlformats.org/markup-compatibility/2006">
      <mc:Choice Requires="x14">
        <control shapeId="1027" r:id="rId56" name="CommandButton2">
          <controlPr defaultSize="0" autoLine="0" r:id="rId57">
            <anchor moveWithCells="1">
              <from>
                <xdr:col>4</xdr:col>
                <xdr:colOff>85725</xdr:colOff>
                <xdr:row>0</xdr:row>
                <xdr:rowOff>19050</xdr:rowOff>
              </from>
              <to>
                <xdr:col>4</xdr:col>
                <xdr:colOff>923925</xdr:colOff>
                <xdr:row>0</xdr:row>
                <xdr:rowOff>342900</xdr:rowOff>
              </to>
            </anchor>
          </controlPr>
        </control>
      </mc:Choice>
      <mc:Fallback>
        <control shapeId="1027" r:id="rId56" name="CommandButton2"/>
      </mc:Fallback>
    </mc:AlternateContent>
    <mc:AlternateContent xmlns:mc="http://schemas.openxmlformats.org/markup-compatibility/2006">
      <mc:Choice Requires="x14">
        <control shapeId="1026" r:id="rId58" name="CommandButton1">
          <controlPr defaultSize="0" autoLine="0" r:id="rId59">
            <anchor moveWithCells="1">
              <from>
                <xdr:col>3</xdr:col>
                <xdr:colOff>28575</xdr:colOff>
                <xdr:row>0</xdr:row>
                <xdr:rowOff>19050</xdr:rowOff>
              </from>
              <to>
                <xdr:col>4</xdr:col>
                <xdr:colOff>57150</xdr:colOff>
                <xdr:row>1</xdr:row>
                <xdr:rowOff>0</xdr:rowOff>
              </to>
            </anchor>
          </controlPr>
        </control>
      </mc:Choice>
      <mc:Fallback>
        <control shapeId="1026" r:id="rId58" name="CommandButton1"/>
      </mc:Fallback>
    </mc:AlternateContent>
    <mc:AlternateContent xmlns:mc="http://schemas.openxmlformats.org/markup-compatibility/2006">
      <mc:Choice Requires="x14">
        <control shapeId="1025" r:id="rId60" name="ComboBox1">
          <controlPr defaultSize="0" autoLine="0" autoPict="0" linkedCell="A1" listFillRange="紅綠燈!AA2:AA30" r:id="rId61">
            <anchor moveWithCells="1">
              <from>
                <xdr:col>0</xdr:col>
                <xdr:colOff>180975</xdr:colOff>
                <xdr:row>0</xdr:row>
                <xdr:rowOff>0</xdr:rowOff>
              </from>
              <to>
                <xdr:col>1</xdr:col>
                <xdr:colOff>266700</xdr:colOff>
                <xdr:row>1</xdr:row>
                <xdr:rowOff>0</xdr:rowOff>
              </to>
            </anchor>
          </controlPr>
        </control>
      </mc:Choice>
      <mc:Fallback>
        <control shapeId="1025" r:id="rId60" name="ComboBox1"/>
      </mc:Fallback>
    </mc:AlternateContent>
    <mc:AlternateContent xmlns:mc="http://schemas.openxmlformats.org/markup-compatibility/2006">
      <mc:Choice Requires="x14">
        <control shapeId="1040" r:id="rId62" name="CommandButton3">
          <controlPr defaultSize="0" autoLine="0" autoPict="0" r:id="rId63">
            <anchor moveWithCells="1">
              <from>
                <xdr:col>0</xdr:col>
                <xdr:colOff>28575</xdr:colOff>
                <xdr:row>0</xdr:row>
                <xdr:rowOff>19050</xdr:rowOff>
              </from>
              <to>
                <xdr:col>0</xdr:col>
                <xdr:colOff>171450</xdr:colOff>
                <xdr:row>1</xdr:row>
                <xdr:rowOff>0</xdr:rowOff>
              </to>
            </anchor>
          </controlPr>
        </control>
      </mc:Choice>
      <mc:Fallback>
        <control shapeId="1040" r:id="rId62" name="CommandButton3"/>
      </mc:Fallback>
    </mc:AlternateContent>
    <mc:AlternateContent xmlns:mc="http://schemas.openxmlformats.org/markup-compatibility/2006">
      <mc:Choice Requires="x14">
        <control shapeId="1056" r:id="rId64" name="CommandButton10">
          <controlPr defaultSize="0" autoLine="0" autoPict="0" r:id="rId65">
            <anchor moveWithCells="1">
              <from>
                <xdr:col>27</xdr:col>
                <xdr:colOff>685800</xdr:colOff>
                <xdr:row>18</xdr:row>
                <xdr:rowOff>28575</xdr:rowOff>
              </from>
              <to>
                <xdr:col>28</xdr:col>
                <xdr:colOff>0</xdr:colOff>
                <xdr:row>20</xdr:row>
                <xdr:rowOff>19050</xdr:rowOff>
              </to>
            </anchor>
          </controlPr>
        </control>
      </mc:Choice>
      <mc:Fallback>
        <control shapeId="1056" r:id="rId64" name="CommandButton10"/>
      </mc:Fallback>
    </mc:AlternateContent>
    <mc:AlternateContent xmlns:mc="http://schemas.openxmlformats.org/markup-compatibility/2006">
      <mc:Choice Requires="x14">
        <control shapeId="1057" r:id="rId66" name="CommandButton22">
          <controlPr defaultSize="0" autoLine="0" r:id="rId67">
            <anchor moveWithCells="1">
              <from>
                <xdr:col>27</xdr:col>
                <xdr:colOff>47625</xdr:colOff>
                <xdr:row>18</xdr:row>
                <xdr:rowOff>28575</xdr:rowOff>
              </from>
              <to>
                <xdr:col>27</xdr:col>
                <xdr:colOff>666750</xdr:colOff>
                <xdr:row>20</xdr:row>
                <xdr:rowOff>19050</xdr:rowOff>
              </to>
            </anchor>
          </controlPr>
        </control>
      </mc:Choice>
      <mc:Fallback>
        <control shapeId="1057" r:id="rId66" name="CommandButton22"/>
      </mc:Fallback>
    </mc:AlternateContent>
    <mc:AlternateContent xmlns:mc="http://schemas.openxmlformats.org/markup-compatibility/2006">
      <mc:Choice Requires="x14">
        <control shapeId="1058" r:id="rId68" name="CommandButton23">
          <controlPr defaultSize="0" autoLine="0" r:id="rId69">
            <anchor moveWithCells="1">
              <from>
                <xdr:col>27</xdr:col>
                <xdr:colOff>47625</xdr:colOff>
                <xdr:row>20</xdr:row>
                <xdr:rowOff>47625</xdr:rowOff>
              </from>
              <to>
                <xdr:col>27</xdr:col>
                <xdr:colOff>666750</xdr:colOff>
                <xdr:row>22</xdr:row>
                <xdr:rowOff>28575</xdr:rowOff>
              </to>
            </anchor>
          </controlPr>
        </control>
      </mc:Choice>
      <mc:Fallback>
        <control shapeId="1058" r:id="rId68" name="CommandButton23"/>
      </mc:Fallback>
    </mc:AlternateContent>
    <mc:AlternateContent xmlns:mc="http://schemas.openxmlformats.org/markup-compatibility/2006">
      <mc:Choice Requires="x14">
        <control shapeId="1059" r:id="rId70" name="CommandButton24">
          <controlPr defaultSize="0" autoLine="0" autoPict="0" r:id="rId71">
            <anchor moveWithCells="1">
              <from>
                <xdr:col>27</xdr:col>
                <xdr:colOff>695325</xdr:colOff>
                <xdr:row>20</xdr:row>
                <xdr:rowOff>38100</xdr:rowOff>
              </from>
              <to>
                <xdr:col>27</xdr:col>
                <xdr:colOff>1285875</xdr:colOff>
                <xdr:row>22</xdr:row>
                <xdr:rowOff>28575</xdr:rowOff>
              </to>
            </anchor>
          </controlPr>
        </control>
      </mc:Choice>
      <mc:Fallback>
        <control shapeId="1059" r:id="rId70" name="CommandButton24"/>
      </mc:Fallback>
    </mc:AlternateContent>
    <mc:AlternateContent xmlns:mc="http://schemas.openxmlformats.org/markup-compatibility/2006">
      <mc:Choice Requires="x14">
        <control shapeId="1060" r:id="rId72" name="CommandButton25">
          <controlPr defaultSize="0" autoLine="0" r:id="rId73">
            <anchor moveWithCells="1">
              <from>
                <xdr:col>27</xdr:col>
                <xdr:colOff>609600</xdr:colOff>
                <xdr:row>0</xdr:row>
                <xdr:rowOff>0</xdr:rowOff>
              </from>
              <to>
                <xdr:col>27</xdr:col>
                <xdr:colOff>1190625</xdr:colOff>
                <xdr:row>1</xdr:row>
                <xdr:rowOff>0</xdr:rowOff>
              </to>
            </anchor>
          </controlPr>
        </control>
      </mc:Choice>
      <mc:Fallback>
        <control shapeId="1060" r:id="rId72" name="CommandButton2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評比系統"/>
  <dimension ref="A1:CZ10"/>
  <sheetViews>
    <sheetView zoomScale="80" zoomScaleNormal="80" workbookViewId="0">
      <pane xSplit="13" ySplit="3" topLeftCell="N4" activePane="bottomRight" state="frozen"/>
      <selection pane="topRight" activeCell="N1" sqref="N1"/>
      <selection pane="bottomLeft" activeCell="A4" sqref="A4"/>
      <selection pane="bottomRight" activeCell="O4" sqref="O4"/>
    </sheetView>
  </sheetViews>
  <sheetFormatPr defaultRowHeight="19.5"/>
  <cols>
    <col min="1" max="1" width="9.625" style="39" customWidth="1"/>
    <col min="2" max="2" width="9.625" style="42" customWidth="1"/>
    <col min="3" max="3" width="6.25" style="37" bestFit="1" customWidth="1"/>
    <col min="4" max="4" width="6.875" style="37" bestFit="1" customWidth="1"/>
    <col min="5" max="5" width="9.375" style="37" bestFit="1" customWidth="1"/>
    <col min="6" max="7" width="6.875" style="37" bestFit="1" customWidth="1"/>
    <col min="8" max="12" width="6.875" style="39" bestFit="1" customWidth="1"/>
    <col min="13" max="13" width="6.25" style="101" bestFit="1" customWidth="1"/>
    <col min="14" max="14" width="8.5" style="37" customWidth="1"/>
    <col min="15" max="18" width="8.5" style="38" customWidth="1"/>
    <col min="19" max="19" width="34.375" style="37" bestFit="1" customWidth="1"/>
  </cols>
  <sheetData>
    <row r="1" spans="1:104" ht="26.25" thickBot="1">
      <c r="A1" s="287">
        <f ca="1">NOW()</f>
        <v>42302.975014930555</v>
      </c>
      <c r="B1" s="288"/>
      <c r="C1" s="289" t="s">
        <v>50</v>
      </c>
      <c r="D1" s="289"/>
      <c r="E1" s="289"/>
      <c r="F1" s="289"/>
      <c r="G1" s="289"/>
      <c r="H1" s="289"/>
      <c r="I1" s="289"/>
      <c r="J1" s="289"/>
      <c r="K1" s="289"/>
      <c r="L1" s="289"/>
      <c r="M1" s="289"/>
      <c r="N1" s="290"/>
      <c r="O1" s="290"/>
      <c r="P1" s="43"/>
      <c r="Q1" s="108"/>
      <c r="R1" s="44"/>
      <c r="S1" s="45"/>
    </row>
    <row r="2" spans="1:104" s="103" customFormat="1" ht="28.5" customHeight="1">
      <c r="A2" s="291" t="s">
        <v>40</v>
      </c>
      <c r="B2" s="292"/>
      <c r="C2" s="293" t="s">
        <v>290</v>
      </c>
      <c r="D2" s="294"/>
      <c r="E2" s="294"/>
      <c r="F2" s="294"/>
      <c r="G2" s="295"/>
      <c r="H2" s="296" t="s">
        <v>293</v>
      </c>
      <c r="I2" s="297"/>
      <c r="J2" s="297"/>
      <c r="K2" s="297"/>
      <c r="L2" s="298"/>
      <c r="M2" s="124" t="s">
        <v>2474</v>
      </c>
      <c r="N2" s="122"/>
      <c r="O2" s="299" t="s">
        <v>1137</v>
      </c>
      <c r="P2" s="300"/>
      <c r="Q2" s="300"/>
      <c r="R2" s="301"/>
      <c r="S2" s="102" t="s">
        <v>38</v>
      </c>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row>
    <row r="3" spans="1:104" ht="20.25" thickBot="1">
      <c r="A3" s="40" t="s">
        <v>41</v>
      </c>
      <c r="B3" s="41" t="s">
        <v>42</v>
      </c>
      <c r="C3" s="28" t="s">
        <v>43</v>
      </c>
      <c r="D3" s="29" t="s">
        <v>44</v>
      </c>
      <c r="E3" s="29" t="s">
        <v>45</v>
      </c>
      <c r="F3" s="29" t="s">
        <v>46</v>
      </c>
      <c r="G3" s="30" t="s">
        <v>47</v>
      </c>
      <c r="H3" s="31" t="s">
        <v>39</v>
      </c>
      <c r="I3" s="32" t="s">
        <v>288</v>
      </c>
      <c r="J3" s="33" t="s">
        <v>289</v>
      </c>
      <c r="K3" s="34" t="s">
        <v>291</v>
      </c>
      <c r="L3" s="35" t="s">
        <v>294</v>
      </c>
      <c r="M3" s="180" t="s">
        <v>2475</v>
      </c>
      <c r="N3" s="123" t="s">
        <v>1138</v>
      </c>
      <c r="O3" s="121" t="s">
        <v>295</v>
      </c>
      <c r="P3" s="106" t="s">
        <v>296</v>
      </c>
      <c r="Q3" s="106" t="s">
        <v>292</v>
      </c>
      <c r="R3" s="105" t="s">
        <v>580</v>
      </c>
      <c r="S3" s="36" t="s">
        <v>51</v>
      </c>
    </row>
    <row r="4" spans="1:104" ht="16.5">
      <c r="A4">
        <v>8049</v>
      </c>
      <c r="B4"/>
      <c r="C4">
        <v>1</v>
      </c>
      <c r="D4">
        <v>1</v>
      </c>
      <c r="E4">
        <v>2</v>
      </c>
      <c r="F4">
        <v>1</v>
      </c>
      <c r="G4">
        <v>0</v>
      </c>
      <c r="H4">
        <v>1</v>
      </c>
      <c r="I4">
        <v>1</v>
      </c>
      <c r="J4">
        <v>0</v>
      </c>
      <c r="K4">
        <v>1</v>
      </c>
      <c r="L4">
        <v>0</v>
      </c>
      <c r="M4">
        <v>1</v>
      </c>
      <c r="N4">
        <f>SUM(C4:M4)</f>
        <v>9</v>
      </c>
      <c r="O4">
        <f>VLOOKUP(8049,PSR!A:I,5,0)</f>
        <v>9.69</v>
      </c>
      <c r="P4">
        <f>VLOOKUP(8049,PSR!A:I,9,0)</f>
        <v>9.69</v>
      </c>
      <c r="Q4">
        <f>VLOOKUP(8049,PSR!A:I,8,0)</f>
        <v>0.88</v>
      </c>
      <c r="R4">
        <v>1291</v>
      </c>
      <c r="S4"/>
    </row>
    <row r="5" spans="1:104" ht="16.5">
      <c r="A5">
        <v>2108</v>
      </c>
      <c r="B5"/>
      <c r="C5">
        <v>1</v>
      </c>
      <c r="D5">
        <v>1</v>
      </c>
      <c r="E5">
        <v>1</v>
      </c>
      <c r="F5">
        <v>1</v>
      </c>
      <c r="G5">
        <v>0</v>
      </c>
      <c r="H5">
        <v>1</v>
      </c>
      <c r="I5">
        <v>1</v>
      </c>
      <c r="J5">
        <v>0</v>
      </c>
      <c r="K5">
        <v>0</v>
      </c>
      <c r="L5">
        <v>0</v>
      </c>
      <c r="M5">
        <v>1</v>
      </c>
      <c r="N5">
        <f>SUM(C5:M5)</f>
        <v>7</v>
      </c>
      <c r="O5">
        <f>VLOOKUP(2108,PSR!A:I,5,0)</f>
        <v>28.45</v>
      </c>
      <c r="P5">
        <f>VLOOKUP(2108,PSR!A:I,9,0)</f>
        <v>9.91</v>
      </c>
      <c r="Q5">
        <f>VLOOKUP(2108,PSR!A:I,8,0)</f>
        <v>1.29</v>
      </c>
      <c r="R5">
        <v>4150</v>
      </c>
      <c r="S5"/>
    </row>
    <row r="6" spans="1:104" ht="16.5">
      <c r="A6">
        <v>3511</v>
      </c>
      <c r="B6"/>
      <c r="C6">
        <v>1</v>
      </c>
      <c r="D6">
        <v>1</v>
      </c>
      <c r="E6">
        <v>0</v>
      </c>
      <c r="F6">
        <v>1</v>
      </c>
      <c r="G6">
        <v>1</v>
      </c>
      <c r="H6">
        <v>1</v>
      </c>
      <c r="I6">
        <v>0</v>
      </c>
      <c r="J6">
        <v>1</v>
      </c>
      <c r="K6">
        <v>0</v>
      </c>
      <c r="L6">
        <v>0</v>
      </c>
      <c r="M6">
        <v>1</v>
      </c>
      <c r="N6">
        <f>SUM(C6:M6)</f>
        <v>7</v>
      </c>
      <c r="O6">
        <f>VLOOKUP(3511,PSR!A:I,5,0)</f>
        <v>40.1</v>
      </c>
      <c r="P6">
        <f>VLOOKUP(3511,PSR!A:I,9,0)</f>
        <v>10.42</v>
      </c>
      <c r="Q6">
        <f>VLOOKUP(3511,PSR!A:I,8,0)</f>
        <v>1.31</v>
      </c>
      <c r="R6">
        <v>390</v>
      </c>
      <c r="S6"/>
    </row>
    <row r="7" spans="1:104" ht="16.5">
      <c r="A7"/>
      <c r="B7"/>
      <c r="C7"/>
      <c r="D7"/>
      <c r="E7"/>
      <c r="F7"/>
      <c r="G7"/>
      <c r="H7"/>
      <c r="I7"/>
      <c r="J7"/>
      <c r="K7"/>
      <c r="L7"/>
      <c r="M7"/>
      <c r="N7"/>
      <c r="O7"/>
      <c r="P7"/>
      <c r="Q7"/>
      <c r="R7"/>
      <c r="S7"/>
    </row>
    <row r="8" spans="1:104" ht="16.5">
      <c r="A8"/>
      <c r="B8"/>
      <c r="C8"/>
      <c r="D8"/>
      <c r="E8"/>
      <c r="F8"/>
      <c r="G8"/>
      <c r="H8"/>
      <c r="I8"/>
      <c r="J8"/>
      <c r="K8"/>
      <c r="L8"/>
      <c r="M8"/>
      <c r="N8"/>
      <c r="O8"/>
      <c r="P8"/>
      <c r="Q8"/>
      <c r="R8"/>
      <c r="S8"/>
    </row>
    <row r="9" spans="1:104" ht="16.5">
      <c r="A9"/>
      <c r="B9"/>
      <c r="C9"/>
      <c r="D9"/>
      <c r="E9"/>
      <c r="F9"/>
      <c r="G9"/>
      <c r="H9"/>
      <c r="I9"/>
      <c r="J9"/>
      <c r="K9"/>
      <c r="L9"/>
      <c r="M9"/>
      <c r="N9"/>
      <c r="O9"/>
      <c r="P9"/>
      <c r="Q9"/>
      <c r="R9"/>
      <c r="S9"/>
    </row>
    <row r="10" spans="1:104" ht="16.5">
      <c r="A10"/>
      <c r="B10"/>
      <c r="C10"/>
      <c r="D10"/>
      <c r="E10"/>
      <c r="F10"/>
      <c r="G10"/>
      <c r="H10"/>
      <c r="I10"/>
      <c r="J10"/>
      <c r="K10"/>
      <c r="L10"/>
      <c r="M10"/>
      <c r="N10"/>
      <c r="O10"/>
      <c r="P10"/>
      <c r="Q10"/>
      <c r="R10"/>
      <c r="S10"/>
    </row>
  </sheetData>
  <sortState ref="A4:S9">
    <sortCondition descending="1" ref="M3"/>
  </sortState>
  <mergeCells count="6">
    <mergeCell ref="A1:B1"/>
    <mergeCell ref="C1:O1"/>
    <mergeCell ref="A2:B2"/>
    <mergeCell ref="C2:G2"/>
    <mergeCell ref="H2:L2"/>
    <mergeCell ref="O2:R2"/>
  </mergeCells>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62" r:id="rId4" name="CommandButton9">
          <controlPr defaultSize="0" autoLine="0" autoPict="0" r:id="rId5">
            <anchor moveWithCells="1">
              <from>
                <xdr:col>14</xdr:col>
                <xdr:colOff>66675</xdr:colOff>
                <xdr:row>1</xdr:row>
                <xdr:rowOff>28575</xdr:rowOff>
              </from>
              <to>
                <xdr:col>16</xdr:col>
                <xdr:colOff>609600</xdr:colOff>
                <xdr:row>1</xdr:row>
                <xdr:rowOff>342900</xdr:rowOff>
              </to>
            </anchor>
          </controlPr>
        </control>
      </mc:Choice>
      <mc:Fallback>
        <control shapeId="2062" r:id="rId4" name="CommandButton9"/>
      </mc:Fallback>
    </mc:AlternateContent>
    <mc:AlternateContent xmlns:mc="http://schemas.openxmlformats.org/markup-compatibility/2006">
      <mc:Choice Requires="x14">
        <control shapeId="2059" r:id="rId6" name="CommandButton7">
          <controlPr defaultSize="0" autoLine="0" r:id="rId7">
            <anchor moveWithCells="1">
              <from>
                <xdr:col>7</xdr:col>
                <xdr:colOff>47625</xdr:colOff>
                <xdr:row>0</xdr:row>
                <xdr:rowOff>38100</xdr:rowOff>
              </from>
              <to>
                <xdr:col>7</xdr:col>
                <xdr:colOff>390525</xdr:colOff>
                <xdr:row>0</xdr:row>
                <xdr:rowOff>295275</xdr:rowOff>
              </to>
            </anchor>
          </controlPr>
        </control>
      </mc:Choice>
      <mc:Fallback>
        <control shapeId="2059" r:id="rId6" name="CommandButton7"/>
      </mc:Fallback>
    </mc:AlternateContent>
    <mc:AlternateContent xmlns:mc="http://schemas.openxmlformats.org/markup-compatibility/2006">
      <mc:Choice Requires="x14">
        <control shapeId="2053" r:id="rId8" name="CommandButton6">
          <controlPr defaultSize="0" autoLine="0" r:id="rId9">
            <anchor moveWithCells="1">
              <from>
                <xdr:col>0</xdr:col>
                <xdr:colOff>657225</xdr:colOff>
                <xdr:row>1</xdr:row>
                <xdr:rowOff>19050</xdr:rowOff>
              </from>
              <to>
                <xdr:col>1</xdr:col>
                <xdr:colOff>695325</xdr:colOff>
                <xdr:row>1</xdr:row>
                <xdr:rowOff>342900</xdr:rowOff>
              </to>
            </anchor>
          </controlPr>
        </control>
      </mc:Choice>
      <mc:Fallback>
        <control shapeId="2053" r:id="rId8" name="CommandButton6"/>
      </mc:Fallback>
    </mc:AlternateContent>
    <mc:AlternateContent xmlns:mc="http://schemas.openxmlformats.org/markup-compatibility/2006">
      <mc:Choice Requires="x14">
        <control shapeId="2052" r:id="rId10" name="CommandButton5">
          <controlPr defaultSize="0" autoLine="0" autoPict="0" r:id="rId11">
            <anchor moveWithCells="1">
              <from>
                <xdr:col>8</xdr:col>
                <xdr:colOff>38100</xdr:colOff>
                <xdr:row>0</xdr:row>
                <xdr:rowOff>38100</xdr:rowOff>
              </from>
              <to>
                <xdr:col>8</xdr:col>
                <xdr:colOff>381000</xdr:colOff>
                <xdr:row>0</xdr:row>
                <xdr:rowOff>295275</xdr:rowOff>
              </to>
            </anchor>
          </controlPr>
        </control>
      </mc:Choice>
      <mc:Fallback>
        <control shapeId="2052" r:id="rId10" name="CommandButton5"/>
      </mc:Fallback>
    </mc:AlternateContent>
    <mc:AlternateContent xmlns:mc="http://schemas.openxmlformats.org/markup-compatibility/2006">
      <mc:Choice Requires="x14">
        <control shapeId="2051" r:id="rId12" name="CommandButton4">
          <controlPr defaultSize="0" autoLine="0" autoPict="0" r:id="rId13">
            <anchor moveWithCells="1">
              <from>
                <xdr:col>9</xdr:col>
                <xdr:colOff>19050</xdr:colOff>
                <xdr:row>0</xdr:row>
                <xdr:rowOff>38100</xdr:rowOff>
              </from>
              <to>
                <xdr:col>9</xdr:col>
                <xdr:colOff>361950</xdr:colOff>
                <xdr:row>0</xdr:row>
                <xdr:rowOff>295275</xdr:rowOff>
              </to>
            </anchor>
          </controlPr>
        </control>
      </mc:Choice>
      <mc:Fallback>
        <control shapeId="2051" r:id="rId12" name="CommandButton4"/>
      </mc:Fallback>
    </mc:AlternateContent>
    <mc:AlternateContent xmlns:mc="http://schemas.openxmlformats.org/markup-compatibility/2006">
      <mc:Choice Requires="x14">
        <control shapeId="2050" r:id="rId14" name="CommandButton3">
          <controlPr defaultSize="0" autoLine="0" autoPict="0" r:id="rId15">
            <anchor moveWithCells="1">
              <from>
                <xdr:col>11</xdr:col>
                <xdr:colOff>57150</xdr:colOff>
                <xdr:row>0</xdr:row>
                <xdr:rowOff>38100</xdr:rowOff>
              </from>
              <to>
                <xdr:col>11</xdr:col>
                <xdr:colOff>409575</xdr:colOff>
                <xdr:row>0</xdr:row>
                <xdr:rowOff>295275</xdr:rowOff>
              </to>
            </anchor>
          </controlPr>
        </control>
      </mc:Choice>
      <mc:Fallback>
        <control shapeId="2050" r:id="rId14" name="CommandButton3"/>
      </mc:Fallback>
    </mc:AlternateContent>
    <mc:AlternateContent xmlns:mc="http://schemas.openxmlformats.org/markup-compatibility/2006">
      <mc:Choice Requires="x14">
        <control shapeId="2049" r:id="rId16" name="CommandButton2">
          <controlPr defaultSize="0" autoLine="0" r:id="rId17">
            <anchor moveWithCells="1">
              <from>
                <xdr:col>4</xdr:col>
                <xdr:colOff>419100</xdr:colOff>
                <xdr:row>1</xdr:row>
                <xdr:rowOff>19050</xdr:rowOff>
              </from>
              <to>
                <xdr:col>6</xdr:col>
                <xdr:colOff>485775</xdr:colOff>
                <xdr:row>1</xdr:row>
                <xdr:rowOff>342900</xdr:rowOff>
              </to>
            </anchor>
          </controlPr>
        </control>
      </mc:Choice>
      <mc:Fallback>
        <control shapeId="2049" r:id="rId16" name="CommandButton2"/>
      </mc:Fallback>
    </mc:AlternateContent>
    <mc:AlternateContent xmlns:mc="http://schemas.openxmlformats.org/markup-compatibility/2006">
      <mc:Choice Requires="x14">
        <control shapeId="2057" r:id="rId18" name="CommandButton1">
          <controlPr defaultSize="0" autoLine="0" autoPict="0" r:id="rId19">
            <anchor moveWithCells="1">
              <from>
                <xdr:col>10</xdr:col>
                <xdr:colOff>66675</xdr:colOff>
                <xdr:row>0</xdr:row>
                <xdr:rowOff>38100</xdr:rowOff>
              </from>
              <to>
                <xdr:col>10</xdr:col>
                <xdr:colOff>409575</xdr:colOff>
                <xdr:row>0</xdr:row>
                <xdr:rowOff>295275</xdr:rowOff>
              </to>
            </anchor>
          </controlPr>
        </control>
      </mc:Choice>
      <mc:Fallback>
        <control shapeId="2057" r:id="rId18" name="CommandButton1"/>
      </mc:Fallback>
    </mc:AlternateContent>
    <mc:AlternateContent xmlns:mc="http://schemas.openxmlformats.org/markup-compatibility/2006">
      <mc:Choice Requires="x14">
        <control shapeId="2063" r:id="rId20" name="CommandButton8">
          <controlPr defaultSize="0" autoLine="0" r:id="rId21">
            <anchor moveWithCells="1">
              <from>
                <xdr:col>0</xdr:col>
                <xdr:colOff>47625</xdr:colOff>
                <xdr:row>1</xdr:row>
                <xdr:rowOff>19050</xdr:rowOff>
              </from>
              <to>
                <xdr:col>0</xdr:col>
                <xdr:colOff>638175</xdr:colOff>
                <xdr:row>1</xdr:row>
                <xdr:rowOff>342900</xdr:rowOff>
              </to>
            </anchor>
          </controlPr>
        </control>
      </mc:Choice>
      <mc:Fallback>
        <control shapeId="2063" r:id="rId20" name="CommandButton8"/>
      </mc:Fallback>
    </mc:AlternateContent>
    <mc:AlternateContent xmlns:mc="http://schemas.openxmlformats.org/markup-compatibility/2006">
      <mc:Choice Requires="x14">
        <control shapeId="2064" r:id="rId22" name="CommandButton10">
          <controlPr defaultSize="0" autoLine="0" autoPict="0" r:id="rId23">
            <anchor moveWithCells="1">
              <from>
                <xdr:col>12</xdr:col>
                <xdr:colOff>9525</xdr:colOff>
                <xdr:row>1</xdr:row>
                <xdr:rowOff>28575</xdr:rowOff>
              </from>
              <to>
                <xdr:col>12</xdr:col>
                <xdr:colOff>457200</xdr:colOff>
                <xdr:row>1</xdr:row>
                <xdr:rowOff>342900</xdr:rowOff>
              </to>
            </anchor>
          </controlPr>
        </control>
      </mc:Choice>
      <mc:Fallback>
        <control shapeId="2064" r:id="rId22" name="CommandButton10"/>
      </mc:Fallback>
    </mc:AlternateContent>
    <mc:AlternateContent xmlns:mc="http://schemas.openxmlformats.org/markup-compatibility/2006">
      <mc:Choice Requires="x14">
        <control shapeId="2065" r:id="rId24" name="CommandButton11">
          <controlPr defaultSize="0" autoLine="0" r:id="rId25">
            <anchor moveWithCells="1">
              <from>
                <xdr:col>17</xdr:col>
                <xdr:colOff>85725</xdr:colOff>
                <xdr:row>1</xdr:row>
                <xdr:rowOff>28575</xdr:rowOff>
              </from>
              <to>
                <xdr:col>17</xdr:col>
                <xdr:colOff>533400</xdr:colOff>
                <xdr:row>1</xdr:row>
                <xdr:rowOff>342900</xdr:rowOff>
              </to>
            </anchor>
          </controlPr>
        </control>
      </mc:Choice>
      <mc:Fallback>
        <control shapeId="2065" r:id="rId24" name="CommandButton1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篩股系統"/>
  <dimension ref="A1:AB1543"/>
  <sheetViews>
    <sheetView zoomScale="80" zoomScaleNormal="80" workbookViewId="0">
      <pane xSplit="1" ySplit="1" topLeftCell="B2" activePane="bottomRight" state="frozen"/>
      <selection activeCell="D22" sqref="D22"/>
      <selection pane="topRight" activeCell="D22" sqref="D22"/>
      <selection pane="bottomLeft" activeCell="D22" sqref="D22"/>
      <selection pane="bottomRight" activeCell="B2" sqref="B2:B19"/>
    </sheetView>
  </sheetViews>
  <sheetFormatPr defaultColWidth="9" defaultRowHeight="16.5"/>
  <cols>
    <col min="1" max="1" width="9.625" style="63" bestFit="1" customWidth="1"/>
    <col min="2" max="2" width="12.875" bestFit="1" customWidth="1"/>
    <col min="3" max="5" width="11" customWidth="1"/>
    <col min="6" max="6" width="13.375" bestFit="1" customWidth="1"/>
    <col min="7" max="10" width="11" customWidth="1"/>
    <col min="11" max="11" width="10.5" bestFit="1" customWidth="1"/>
    <col min="12" max="15" width="11" customWidth="1"/>
    <col min="16" max="18" width="12.125" customWidth="1"/>
    <col min="19" max="19" width="11.125" customWidth="1"/>
    <col min="20" max="26" width="12.125" customWidth="1"/>
    <col min="27" max="16384" width="9" style="61"/>
  </cols>
  <sheetData>
    <row r="1" spans="1:28" ht="33.75" customHeight="1">
      <c r="A1" s="60" t="s">
        <v>180</v>
      </c>
      <c r="B1" t="s">
        <v>1143</v>
      </c>
      <c r="AB1" s="62"/>
    </row>
    <row r="2" spans="1:28">
      <c r="A2" s="63">
        <v>1101</v>
      </c>
      <c r="B2" s="109">
        <v>1256</v>
      </c>
    </row>
    <row r="3" spans="1:28">
      <c r="A3" s="63">
        <v>1103</v>
      </c>
      <c r="B3" s="109">
        <v>2313</v>
      </c>
    </row>
    <row r="4" spans="1:28">
      <c r="A4" s="63">
        <v>1104</v>
      </c>
      <c r="B4" s="109">
        <v>2383</v>
      </c>
    </row>
    <row r="5" spans="1:28">
      <c r="A5" s="63">
        <v>1108</v>
      </c>
      <c r="B5" s="109">
        <v>2406</v>
      </c>
    </row>
    <row r="6" spans="1:28">
      <c r="A6" s="63">
        <v>1109</v>
      </c>
      <c r="B6" s="109">
        <v>2433</v>
      </c>
    </row>
    <row r="7" spans="1:28">
      <c r="A7" s="63">
        <v>1110</v>
      </c>
      <c r="B7" s="109">
        <v>2438</v>
      </c>
      <c r="C7" s="68"/>
      <c r="D7" s="68"/>
      <c r="E7" s="68"/>
      <c r="F7" s="68"/>
      <c r="G7" s="68"/>
      <c r="H7" s="68"/>
      <c r="I7" s="68"/>
      <c r="J7" s="68"/>
      <c r="K7" s="68"/>
      <c r="L7" s="68"/>
      <c r="M7" s="68"/>
      <c r="N7" s="68"/>
      <c r="O7" s="68"/>
      <c r="P7" s="68"/>
      <c r="Q7" s="68"/>
      <c r="R7" s="68"/>
      <c r="S7" s="68"/>
    </row>
    <row r="8" spans="1:28">
      <c r="A8" s="63">
        <v>1201</v>
      </c>
      <c r="B8" s="109">
        <v>2474</v>
      </c>
      <c r="C8" s="68"/>
      <c r="D8" s="68" t="s">
        <v>1144</v>
      </c>
      <c r="E8" s="68"/>
      <c r="F8" s="68"/>
      <c r="G8" s="68"/>
      <c r="H8" s="68"/>
      <c r="I8" s="68"/>
      <c r="J8" s="68"/>
      <c r="K8" s="68"/>
      <c r="L8" s="68"/>
      <c r="M8" s="68"/>
      <c r="N8" s="68"/>
      <c r="O8" s="68"/>
      <c r="P8" s="68"/>
      <c r="Q8" s="68"/>
      <c r="R8" s="68"/>
      <c r="S8" s="68"/>
    </row>
    <row r="9" spans="1:28">
      <c r="A9" s="63">
        <v>1203</v>
      </c>
      <c r="B9" s="109">
        <v>3152</v>
      </c>
      <c r="C9" s="68"/>
      <c r="D9" s="68"/>
      <c r="E9" s="68"/>
      <c r="F9" s="68"/>
      <c r="G9" s="68"/>
      <c r="H9" s="68"/>
      <c r="I9" s="68"/>
      <c r="J9" s="68"/>
      <c r="K9" s="68"/>
      <c r="L9" s="68"/>
      <c r="M9" s="68"/>
      <c r="N9" s="68"/>
      <c r="O9" s="68"/>
      <c r="P9" s="68"/>
      <c r="Q9" s="68"/>
      <c r="R9" s="68"/>
      <c r="S9" s="68"/>
    </row>
    <row r="10" spans="1:28">
      <c r="A10" s="63">
        <v>1213</v>
      </c>
      <c r="B10" s="109">
        <v>3234</v>
      </c>
      <c r="C10" s="68"/>
      <c r="D10" s="68" t="s">
        <v>1145</v>
      </c>
      <c r="E10" s="68"/>
      <c r="F10" s="68"/>
      <c r="G10" s="68"/>
      <c r="H10" s="68"/>
      <c r="I10" s="68"/>
      <c r="J10" s="68"/>
      <c r="K10" s="68"/>
      <c r="L10" s="68"/>
      <c r="M10" s="68"/>
      <c r="N10" s="68"/>
      <c r="O10" s="68"/>
      <c r="P10" s="68"/>
      <c r="Q10" s="68"/>
      <c r="R10" s="68"/>
      <c r="S10" s="68"/>
    </row>
    <row r="11" spans="1:28">
      <c r="A11" s="63">
        <v>1215</v>
      </c>
      <c r="B11" s="109">
        <v>3294</v>
      </c>
      <c r="C11" s="68"/>
      <c r="D11" s="68"/>
      <c r="E11" s="68"/>
      <c r="F11" s="68"/>
      <c r="G11" s="68"/>
      <c r="H11" s="68"/>
      <c r="I11" s="68"/>
      <c r="J11" s="68"/>
      <c r="K11" s="68"/>
      <c r="L11" s="68"/>
      <c r="M11" s="68"/>
      <c r="N11" s="68"/>
      <c r="O11" s="68"/>
      <c r="P11" s="68"/>
      <c r="Q11" s="68"/>
      <c r="R11" s="68"/>
      <c r="S11" s="68"/>
    </row>
    <row r="12" spans="1:28">
      <c r="A12" s="63">
        <v>1216</v>
      </c>
      <c r="B12" s="109">
        <v>3373</v>
      </c>
      <c r="C12" s="68"/>
      <c r="D12" s="68" t="s">
        <v>1146</v>
      </c>
      <c r="E12" s="68"/>
      <c r="F12" s="68"/>
      <c r="G12" s="68"/>
      <c r="H12" s="68"/>
      <c r="I12" s="68"/>
      <c r="J12" s="68"/>
      <c r="K12" s="68"/>
      <c r="L12" s="68"/>
      <c r="M12" s="68"/>
      <c r="N12" s="68"/>
      <c r="O12" s="68"/>
      <c r="P12" s="68"/>
      <c r="Q12" s="68"/>
      <c r="R12" s="68"/>
      <c r="S12" s="68"/>
    </row>
    <row r="13" spans="1:28">
      <c r="A13" s="63">
        <v>1217</v>
      </c>
      <c r="B13" s="109">
        <v>3593</v>
      </c>
      <c r="C13" s="68"/>
      <c r="D13" s="68" t="s">
        <v>1082</v>
      </c>
      <c r="E13" s="68"/>
      <c r="F13" s="68"/>
      <c r="G13" s="68"/>
      <c r="H13" s="68"/>
      <c r="I13" s="68"/>
      <c r="J13" s="68"/>
      <c r="K13" s="68"/>
      <c r="L13" s="68"/>
      <c r="M13" s="68"/>
      <c r="N13" s="68"/>
      <c r="O13" s="68"/>
      <c r="P13" s="68"/>
      <c r="Q13" s="68"/>
      <c r="R13" s="68"/>
      <c r="S13" s="68"/>
    </row>
    <row r="14" spans="1:28">
      <c r="A14" s="63">
        <v>1218</v>
      </c>
      <c r="B14" s="109">
        <v>3691</v>
      </c>
      <c r="C14" s="68"/>
      <c r="D14" s="68" t="s">
        <v>1083</v>
      </c>
      <c r="E14" s="68" t="s">
        <v>622</v>
      </c>
      <c r="F14" s="68" t="s">
        <v>1084</v>
      </c>
      <c r="G14" s="68" t="s">
        <v>1085</v>
      </c>
      <c r="H14" s="68" t="s">
        <v>1086</v>
      </c>
      <c r="I14" s="68" t="s">
        <v>1087</v>
      </c>
      <c r="J14" s="68" t="s">
        <v>1086</v>
      </c>
      <c r="K14" s="68"/>
      <c r="L14" s="68"/>
      <c r="M14" s="68"/>
      <c r="N14" s="68"/>
      <c r="O14" s="68"/>
      <c r="P14" s="68"/>
      <c r="Q14" s="68"/>
      <c r="R14" s="68"/>
      <c r="S14" s="68"/>
    </row>
    <row r="15" spans="1:28">
      <c r="A15" s="63">
        <v>1219</v>
      </c>
      <c r="B15" s="109">
        <v>4123</v>
      </c>
      <c r="C15" s="68"/>
      <c r="D15" s="68" t="s">
        <v>1088</v>
      </c>
      <c r="E15" s="141">
        <v>128660</v>
      </c>
      <c r="F15" s="142">
        <v>-0.1135</v>
      </c>
      <c r="G15" s="141">
        <v>303926</v>
      </c>
      <c r="H15" s="142">
        <v>-0.57669999999999999</v>
      </c>
      <c r="I15" s="141">
        <v>1583850</v>
      </c>
      <c r="J15" s="142">
        <v>-0.2447</v>
      </c>
      <c r="K15" s="68"/>
      <c r="L15" s="68"/>
      <c r="M15" s="68"/>
      <c r="N15" s="68"/>
      <c r="O15" s="68"/>
      <c r="P15" s="68"/>
      <c r="Q15" s="68"/>
      <c r="R15" s="68"/>
      <c r="S15" s="68"/>
    </row>
    <row r="16" spans="1:28">
      <c r="A16" s="63">
        <v>1220</v>
      </c>
      <c r="B16" s="109">
        <v>4415</v>
      </c>
      <c r="C16" s="68"/>
      <c r="D16" s="68" t="s">
        <v>1089</v>
      </c>
      <c r="E16" s="141">
        <v>145130</v>
      </c>
      <c r="F16" s="142">
        <v>-0.22359999999999999</v>
      </c>
      <c r="G16" s="141">
        <v>237780</v>
      </c>
      <c r="H16" s="142">
        <v>-0.3896</v>
      </c>
      <c r="I16" s="141">
        <v>1455190</v>
      </c>
      <c r="J16" s="142">
        <v>-0.18840000000000001</v>
      </c>
      <c r="K16" s="68"/>
      <c r="L16" s="68"/>
      <c r="M16" s="68"/>
      <c r="N16" s="68"/>
      <c r="O16" s="68"/>
      <c r="P16" s="68"/>
      <c r="Q16" s="68"/>
      <c r="R16" s="68"/>
      <c r="S16" s="68"/>
    </row>
    <row r="17" spans="1:19">
      <c r="A17" s="63">
        <v>1225</v>
      </c>
      <c r="B17" s="109">
        <v>8016</v>
      </c>
      <c r="C17" s="68"/>
      <c r="D17" s="68" t="s">
        <v>1090</v>
      </c>
      <c r="E17" s="141">
        <v>186934</v>
      </c>
      <c r="F17" s="142">
        <v>0.27189999999999998</v>
      </c>
      <c r="G17" s="141">
        <v>315849</v>
      </c>
      <c r="H17" s="142">
        <v>-0.40820000000000001</v>
      </c>
      <c r="I17" s="141">
        <v>1310060</v>
      </c>
      <c r="J17" s="142">
        <v>-0.15770000000000001</v>
      </c>
      <c r="K17" s="68"/>
      <c r="L17" s="68"/>
      <c r="M17" s="68"/>
      <c r="N17" s="68"/>
      <c r="O17" s="68"/>
      <c r="P17" s="68"/>
      <c r="Q17" s="68"/>
      <c r="R17" s="68"/>
      <c r="S17" s="68"/>
    </row>
    <row r="18" spans="1:19">
      <c r="A18" s="63">
        <v>1227</v>
      </c>
      <c r="B18" s="109">
        <v>8436</v>
      </c>
      <c r="C18" s="68"/>
      <c r="D18" s="68" t="s">
        <v>1091</v>
      </c>
      <c r="E18" s="141">
        <v>146977</v>
      </c>
      <c r="F18" s="142">
        <v>-0.3286</v>
      </c>
      <c r="G18" s="141">
        <v>298285</v>
      </c>
      <c r="H18" s="142">
        <v>-0.50729999999999997</v>
      </c>
      <c r="I18" s="141">
        <v>1123126</v>
      </c>
      <c r="J18" s="142">
        <v>-9.3899999999999997E-2</v>
      </c>
      <c r="K18" s="68"/>
      <c r="L18" s="68"/>
      <c r="M18" s="68"/>
      <c r="N18" s="68"/>
      <c r="O18" s="68"/>
      <c r="P18" s="68"/>
      <c r="Q18" s="68"/>
      <c r="R18" s="68"/>
      <c r="S18" s="68"/>
    </row>
    <row r="19" spans="1:19">
      <c r="A19" s="63">
        <v>1229</v>
      </c>
      <c r="B19" s="109">
        <v>9910</v>
      </c>
      <c r="C19" s="68"/>
      <c r="D19" s="68" t="s">
        <v>1092</v>
      </c>
      <c r="E19" s="141">
        <v>218900</v>
      </c>
      <c r="F19" s="142">
        <v>7.8200000000000006E-2</v>
      </c>
      <c r="G19" s="141">
        <v>201665</v>
      </c>
      <c r="H19" s="142">
        <v>8.5500000000000007E-2</v>
      </c>
      <c r="I19" s="141">
        <v>976149</v>
      </c>
      <c r="J19" s="142">
        <v>3.7199999999999997E-2</v>
      </c>
      <c r="K19" s="68"/>
      <c r="L19" s="68"/>
      <c r="M19" s="68"/>
      <c r="N19" s="68"/>
      <c r="O19" s="68"/>
      <c r="P19" s="68"/>
      <c r="Q19" s="68"/>
      <c r="R19" s="68"/>
      <c r="S19" s="68"/>
    </row>
    <row r="20" spans="1:19">
      <c r="A20" s="63">
        <v>1231</v>
      </c>
      <c r="C20" s="68"/>
      <c r="D20" s="68" t="s">
        <v>1093</v>
      </c>
      <c r="E20" s="141">
        <v>203024</v>
      </c>
      <c r="F20" s="142">
        <v>-0.1</v>
      </c>
      <c r="G20" s="141">
        <v>199988</v>
      </c>
      <c r="H20" s="142">
        <v>1.52E-2</v>
      </c>
      <c r="I20" s="141">
        <v>757249</v>
      </c>
      <c r="J20" s="142">
        <v>2.4E-2</v>
      </c>
      <c r="K20" s="68"/>
      <c r="L20" s="68"/>
      <c r="M20" s="68"/>
      <c r="N20" s="68"/>
      <c r="O20" s="68"/>
      <c r="P20" s="68"/>
      <c r="Q20" s="68"/>
      <c r="R20" s="68"/>
      <c r="S20" s="68"/>
    </row>
    <row r="21" spans="1:19">
      <c r="A21" s="63">
        <v>1232</v>
      </c>
      <c r="C21" s="68"/>
      <c r="D21" s="68" t="s">
        <v>1094</v>
      </c>
      <c r="E21" s="141">
        <v>225576</v>
      </c>
      <c r="F21" s="142">
        <v>0.6018</v>
      </c>
      <c r="G21" s="141">
        <v>199671</v>
      </c>
      <c r="H21" s="142">
        <v>0.12970000000000001</v>
      </c>
      <c r="I21" s="141">
        <v>554225</v>
      </c>
      <c r="J21" s="142">
        <v>2.7199999999999998E-2</v>
      </c>
      <c r="K21" s="68"/>
      <c r="L21" s="68"/>
      <c r="M21" s="68"/>
      <c r="N21" s="68"/>
      <c r="O21" s="68"/>
      <c r="P21" s="68"/>
      <c r="Q21" s="68"/>
      <c r="R21" s="68"/>
      <c r="S21" s="68"/>
    </row>
    <row r="22" spans="1:19">
      <c r="A22" s="63">
        <v>1233</v>
      </c>
      <c r="C22" s="68"/>
      <c r="D22" s="68" t="s">
        <v>1095</v>
      </c>
      <c r="E22" s="141">
        <v>140824</v>
      </c>
      <c r="F22" s="142">
        <v>-0.25019999999999998</v>
      </c>
      <c r="G22" s="141">
        <v>143322</v>
      </c>
      <c r="H22" s="142">
        <v>-1.7399999999999999E-2</v>
      </c>
      <c r="I22" s="141">
        <v>328649</v>
      </c>
      <c r="J22" s="142">
        <v>-3.3000000000000002E-2</v>
      </c>
      <c r="K22" s="68"/>
      <c r="L22" s="68"/>
      <c r="M22" s="68"/>
      <c r="N22" s="68"/>
      <c r="O22" s="68"/>
      <c r="P22" s="68"/>
      <c r="Q22" s="68"/>
      <c r="R22" s="68"/>
      <c r="S22" s="68"/>
    </row>
    <row r="23" spans="1:19">
      <c r="A23" s="63">
        <v>1234</v>
      </c>
      <c r="C23" s="68"/>
      <c r="D23" s="68" t="s">
        <v>1096</v>
      </c>
      <c r="E23" s="141">
        <v>187825</v>
      </c>
      <c r="F23" s="142">
        <v>-0.27210000000000001</v>
      </c>
      <c r="G23" s="141">
        <v>196532</v>
      </c>
      <c r="H23" s="142">
        <v>-4.4299999999999999E-2</v>
      </c>
      <c r="I23" s="141">
        <v>187825</v>
      </c>
      <c r="J23" s="142">
        <v>-4.4299999999999999E-2</v>
      </c>
      <c r="K23" s="68"/>
      <c r="L23" s="68"/>
      <c r="M23" s="68"/>
      <c r="N23" s="68"/>
      <c r="O23" s="68"/>
      <c r="P23" s="68"/>
      <c r="Q23" s="68"/>
      <c r="R23" s="68"/>
      <c r="S23" s="68"/>
    </row>
    <row r="24" spans="1:19">
      <c r="A24" s="63">
        <v>1235</v>
      </c>
      <c r="C24" s="68"/>
      <c r="D24" s="68" t="s">
        <v>1097</v>
      </c>
      <c r="E24" s="141">
        <v>258024</v>
      </c>
      <c r="F24" s="142">
        <v>0.73580000000000001</v>
      </c>
      <c r="G24" s="141">
        <v>212867</v>
      </c>
      <c r="H24" s="142">
        <v>0.21210000000000001</v>
      </c>
      <c r="I24" s="141">
        <v>2744851</v>
      </c>
      <c r="J24" s="142">
        <v>-4.5999999999999999E-2</v>
      </c>
      <c r="K24" s="68"/>
      <c r="L24" s="68"/>
      <c r="M24" s="68"/>
      <c r="N24" s="68"/>
      <c r="O24" s="68"/>
      <c r="P24" s="68"/>
      <c r="Q24" s="68"/>
      <c r="R24" s="68"/>
      <c r="S24" s="68"/>
    </row>
    <row r="25" spans="1:19">
      <c r="A25" s="63">
        <v>1236</v>
      </c>
      <c r="C25" s="68"/>
      <c r="D25" s="68" t="s">
        <v>1098</v>
      </c>
      <c r="E25" s="141">
        <v>148648</v>
      </c>
      <c r="F25" s="142">
        <v>-0.3836</v>
      </c>
      <c r="G25" s="141">
        <v>176537</v>
      </c>
      <c r="H25" s="142">
        <v>-0.158</v>
      </c>
      <c r="I25" s="141">
        <v>2486827</v>
      </c>
      <c r="J25" s="142">
        <v>-6.6600000000000006E-2</v>
      </c>
      <c r="K25" s="68"/>
      <c r="L25" s="68"/>
      <c r="M25" s="68"/>
      <c r="N25" s="68"/>
      <c r="O25" s="68"/>
      <c r="P25" s="68"/>
      <c r="Q25" s="68"/>
      <c r="R25" s="68"/>
      <c r="S25" s="68"/>
    </row>
    <row r="26" spans="1:19">
      <c r="A26" s="63">
        <v>1256</v>
      </c>
      <c r="C26" s="68"/>
      <c r="D26" s="68" t="s">
        <v>1099</v>
      </c>
      <c r="E26" s="141">
        <v>241161</v>
      </c>
      <c r="F26" s="142">
        <v>-0.20649999999999999</v>
      </c>
      <c r="G26" s="141">
        <v>202491</v>
      </c>
      <c r="H26" s="142">
        <v>0.191</v>
      </c>
      <c r="I26" s="141">
        <v>2338179</v>
      </c>
      <c r="J26" s="142">
        <v>-6.0100000000000001E-2</v>
      </c>
      <c r="K26" s="68"/>
      <c r="L26" s="68"/>
      <c r="M26" s="68"/>
      <c r="N26" s="68"/>
      <c r="O26" s="68"/>
      <c r="P26" s="68"/>
      <c r="Q26" s="68"/>
      <c r="R26" s="68"/>
      <c r="S26" s="68"/>
    </row>
    <row r="27" spans="1:19">
      <c r="A27" s="63">
        <v>1258</v>
      </c>
      <c r="C27" s="68"/>
      <c r="D27" s="68" t="s">
        <v>1100</v>
      </c>
      <c r="E27" s="141">
        <v>303926</v>
      </c>
      <c r="F27" s="142">
        <v>0.2782</v>
      </c>
      <c r="G27" s="141">
        <v>165340</v>
      </c>
      <c r="H27" s="142">
        <v>0.83819999999999995</v>
      </c>
      <c r="I27" s="141">
        <v>2097018</v>
      </c>
      <c r="J27" s="142">
        <v>-8.2400000000000001E-2</v>
      </c>
      <c r="K27" s="68"/>
      <c r="L27" s="68"/>
      <c r="M27" s="68"/>
      <c r="N27" s="68"/>
      <c r="O27" s="68"/>
      <c r="P27" s="68"/>
      <c r="Q27" s="68"/>
      <c r="R27" s="68"/>
      <c r="S27" s="68"/>
    </row>
    <row r="28" spans="1:19">
      <c r="A28" s="63">
        <v>1259</v>
      </c>
      <c r="C28" s="68"/>
      <c r="D28" s="68" t="s">
        <v>1101</v>
      </c>
      <c r="E28" s="141">
        <v>237780</v>
      </c>
      <c r="F28" s="142">
        <v>-0.2472</v>
      </c>
      <c r="G28" s="141">
        <v>238490</v>
      </c>
      <c r="H28" s="142">
        <v>-3.0000000000000001E-3</v>
      </c>
      <c r="I28" s="141">
        <v>1793092</v>
      </c>
      <c r="J28" s="142">
        <v>-0.1542</v>
      </c>
      <c r="K28" s="68"/>
      <c r="L28" s="68"/>
      <c r="M28" s="68"/>
      <c r="N28" s="68"/>
      <c r="O28" s="68"/>
      <c r="P28" s="68"/>
      <c r="Q28" s="68"/>
      <c r="R28" s="68"/>
      <c r="S28" s="68"/>
    </row>
    <row r="29" spans="1:19">
      <c r="A29" s="63">
        <v>1262</v>
      </c>
      <c r="C29" s="68"/>
      <c r="D29" s="68" t="s">
        <v>1102</v>
      </c>
      <c r="E29" s="141">
        <v>315849</v>
      </c>
      <c r="F29" s="142">
        <v>5.8900000000000001E-2</v>
      </c>
      <c r="G29" s="141">
        <v>174682</v>
      </c>
      <c r="H29" s="142">
        <v>0.80810000000000004</v>
      </c>
      <c r="I29" s="141">
        <v>1555312</v>
      </c>
      <c r="J29" s="142">
        <v>-0.17330000000000001</v>
      </c>
      <c r="K29" s="68"/>
      <c r="L29" s="68"/>
      <c r="M29" s="68"/>
      <c r="N29" s="68"/>
      <c r="O29" s="68"/>
      <c r="P29" s="68"/>
      <c r="Q29" s="68"/>
      <c r="R29" s="68"/>
      <c r="S29" s="68"/>
    </row>
    <row r="30" spans="1:19">
      <c r="A30" s="63">
        <v>1264</v>
      </c>
      <c r="C30" s="68"/>
      <c r="D30" s="68" t="s">
        <v>1103</v>
      </c>
      <c r="E30" s="141">
        <v>298285</v>
      </c>
      <c r="F30" s="142">
        <v>0.47910000000000003</v>
      </c>
      <c r="G30" s="141">
        <v>273664</v>
      </c>
      <c r="H30" s="142">
        <v>0.09</v>
      </c>
      <c r="I30" s="141">
        <v>1239463</v>
      </c>
      <c r="J30" s="142">
        <v>-0.27379999999999999</v>
      </c>
      <c r="K30" s="68"/>
      <c r="L30" s="68"/>
      <c r="M30" s="68"/>
      <c r="N30" s="68"/>
      <c r="O30" s="68"/>
      <c r="P30" s="68"/>
      <c r="Q30" s="68"/>
      <c r="R30" s="68"/>
      <c r="S30" s="68"/>
    </row>
    <row r="31" spans="1:19">
      <c r="A31" s="63">
        <v>1301</v>
      </c>
      <c r="C31" s="68"/>
      <c r="D31" s="68" t="s">
        <v>1104</v>
      </c>
      <c r="E31" s="141">
        <v>201665</v>
      </c>
      <c r="F31" s="142">
        <v>8.3999999999999995E-3</v>
      </c>
      <c r="G31" s="141">
        <v>251782</v>
      </c>
      <c r="H31" s="142">
        <v>-0.19900000000000001</v>
      </c>
      <c r="I31" s="141">
        <v>941178</v>
      </c>
      <c r="J31" s="142">
        <v>-0.34329999999999999</v>
      </c>
      <c r="K31" s="68"/>
      <c r="L31" s="68"/>
      <c r="M31" s="68"/>
      <c r="N31" s="68"/>
      <c r="O31" s="68"/>
      <c r="P31" s="68"/>
      <c r="Q31" s="68"/>
      <c r="R31" s="68"/>
      <c r="S31" s="68"/>
    </row>
    <row r="32" spans="1:19">
      <c r="A32" s="63">
        <v>1303</v>
      </c>
      <c r="C32" s="68"/>
      <c r="D32" s="68" t="s">
        <v>1105</v>
      </c>
      <c r="E32" s="141">
        <v>199988</v>
      </c>
      <c r="F32" s="142">
        <v>1.6000000000000001E-3</v>
      </c>
      <c r="G32" s="141">
        <v>241566</v>
      </c>
      <c r="H32" s="142">
        <v>-0.1721</v>
      </c>
      <c r="I32" s="141">
        <v>739513</v>
      </c>
      <c r="J32" s="142">
        <v>-0.374</v>
      </c>
      <c r="K32" s="68"/>
      <c r="L32" s="68"/>
      <c r="M32" s="68"/>
      <c r="N32" s="68"/>
      <c r="O32" s="68"/>
      <c r="P32" s="68"/>
      <c r="Q32" s="68"/>
      <c r="R32" s="68"/>
      <c r="S32" s="68"/>
    </row>
    <row r="33" spans="1:19">
      <c r="A33" s="63">
        <v>1304</v>
      </c>
      <c r="C33" s="68"/>
      <c r="D33" s="68" t="s">
        <v>1106</v>
      </c>
      <c r="E33" s="141">
        <v>199671</v>
      </c>
      <c r="F33" s="142">
        <v>0.39319999999999999</v>
      </c>
      <c r="G33" s="141">
        <v>313861</v>
      </c>
      <c r="H33" s="142">
        <v>-0.36380000000000001</v>
      </c>
      <c r="I33" s="141">
        <v>539525</v>
      </c>
      <c r="J33" s="142">
        <v>-0.4259</v>
      </c>
      <c r="K33" s="68"/>
      <c r="L33" s="68"/>
      <c r="M33" s="68"/>
      <c r="N33" s="68"/>
      <c r="O33" s="68"/>
      <c r="P33" s="68"/>
      <c r="Q33" s="68"/>
      <c r="R33" s="68"/>
      <c r="S33" s="68"/>
    </row>
    <row r="34" spans="1:19">
      <c r="A34" s="63">
        <v>1305</v>
      </c>
      <c r="C34" s="68"/>
      <c r="D34" s="68" t="s">
        <v>1107</v>
      </c>
      <c r="E34" s="141">
        <v>143322</v>
      </c>
      <c r="F34" s="142">
        <v>-0.2707</v>
      </c>
      <c r="G34" s="141">
        <v>327002</v>
      </c>
      <c r="H34" s="142">
        <v>-0.56169999999999998</v>
      </c>
      <c r="I34" s="141">
        <v>339854</v>
      </c>
      <c r="J34" s="142">
        <v>-0.45700000000000002</v>
      </c>
      <c r="K34" s="68"/>
      <c r="L34" s="68"/>
      <c r="M34" s="68"/>
      <c r="N34" s="68"/>
      <c r="O34" s="68"/>
      <c r="P34" s="68"/>
      <c r="Q34" s="68"/>
      <c r="R34" s="68"/>
      <c r="S34" s="68"/>
    </row>
    <row r="35" spans="1:19">
      <c r="A35" s="63">
        <v>1307</v>
      </c>
      <c r="C35" s="68"/>
      <c r="D35" s="68" t="s">
        <v>1108</v>
      </c>
      <c r="E35" s="141">
        <v>196532</v>
      </c>
      <c r="F35" s="142">
        <v>-7.6700000000000004E-2</v>
      </c>
      <c r="G35" s="141">
        <v>298876</v>
      </c>
      <c r="H35" s="142">
        <v>-0.34239999999999998</v>
      </c>
      <c r="I35" s="141">
        <v>196532</v>
      </c>
      <c r="J35" s="142">
        <v>-0.34239999999999998</v>
      </c>
      <c r="K35" s="68"/>
      <c r="L35" s="68"/>
      <c r="M35" s="68"/>
      <c r="N35" s="68"/>
      <c r="O35" s="68"/>
      <c r="P35" s="68"/>
      <c r="Q35" s="68"/>
      <c r="R35" s="68"/>
      <c r="S35" s="68"/>
    </row>
    <row r="36" spans="1:19">
      <c r="A36" s="63">
        <v>1308</v>
      </c>
      <c r="C36" s="68"/>
      <c r="D36" s="68" t="s">
        <v>1109</v>
      </c>
      <c r="E36" s="141">
        <v>212867</v>
      </c>
      <c r="F36" s="142">
        <v>0.20580000000000001</v>
      </c>
      <c r="G36" s="141">
        <v>332739</v>
      </c>
      <c r="H36" s="142">
        <v>-0.36030000000000001</v>
      </c>
      <c r="I36" s="141">
        <v>2877158</v>
      </c>
      <c r="J36" s="142">
        <v>-0.32879999999999998</v>
      </c>
      <c r="K36" s="68"/>
      <c r="L36" s="68"/>
      <c r="M36" s="68"/>
      <c r="N36" s="68"/>
      <c r="O36" s="68"/>
      <c r="P36" s="68"/>
      <c r="Q36" s="68"/>
      <c r="R36" s="68"/>
      <c r="S36" s="68"/>
    </row>
    <row r="37" spans="1:19">
      <c r="A37" s="63">
        <v>1309</v>
      </c>
      <c r="C37" s="68"/>
      <c r="D37" s="68" t="s">
        <v>1110</v>
      </c>
      <c r="E37" s="141">
        <v>176537</v>
      </c>
      <c r="F37" s="142">
        <v>-0.12820000000000001</v>
      </c>
      <c r="G37" s="141">
        <v>274638</v>
      </c>
      <c r="H37" s="142">
        <v>-0.35720000000000002</v>
      </c>
      <c r="I37" s="141">
        <v>2664291</v>
      </c>
      <c r="J37" s="142">
        <v>-0.32619999999999999</v>
      </c>
      <c r="K37" s="68"/>
      <c r="L37" s="68"/>
      <c r="M37" s="68"/>
      <c r="N37" s="68"/>
      <c r="O37" s="68"/>
      <c r="P37" s="68"/>
      <c r="Q37" s="68"/>
      <c r="R37" s="68"/>
      <c r="S37" s="68"/>
    </row>
    <row r="38" spans="1:19">
      <c r="A38" s="63">
        <v>1310</v>
      </c>
      <c r="C38" s="68"/>
      <c r="D38" s="68" t="s">
        <v>1111</v>
      </c>
      <c r="E38" s="141">
        <v>202491</v>
      </c>
      <c r="F38" s="142">
        <v>0.22470000000000001</v>
      </c>
      <c r="G38" s="141">
        <v>335061</v>
      </c>
      <c r="H38" s="142">
        <v>-0.3957</v>
      </c>
      <c r="I38" s="141">
        <v>2487754</v>
      </c>
      <c r="J38" s="142">
        <v>-0.32390000000000002</v>
      </c>
      <c r="K38" s="68"/>
      <c r="L38" s="68"/>
      <c r="M38" s="68"/>
      <c r="N38" s="68"/>
      <c r="O38" s="68"/>
      <c r="P38" s="68"/>
      <c r="Q38" s="68"/>
      <c r="R38" s="68"/>
      <c r="S38" s="68"/>
    </row>
    <row r="39" spans="1:19">
      <c r="A39" s="63">
        <v>1312</v>
      </c>
      <c r="C39" s="68"/>
      <c r="D39" s="68" t="s">
        <v>1112</v>
      </c>
      <c r="E39" s="141">
        <v>165340</v>
      </c>
      <c r="F39" s="142">
        <v>-0.30669999999999997</v>
      </c>
      <c r="G39" s="141">
        <v>359055</v>
      </c>
      <c r="H39" s="142">
        <v>-0.53949999999999998</v>
      </c>
      <c r="I39" s="141">
        <v>2285263</v>
      </c>
      <c r="J39" s="142">
        <v>-0.31669999999999998</v>
      </c>
      <c r="K39" s="68"/>
      <c r="L39" s="68"/>
      <c r="M39" s="68"/>
      <c r="N39" s="68"/>
      <c r="O39" s="68"/>
      <c r="P39" s="68"/>
      <c r="Q39" s="68"/>
      <c r="R39" s="68"/>
      <c r="S39" s="68"/>
    </row>
    <row r="40" spans="1:19">
      <c r="A40" s="63">
        <v>1313</v>
      </c>
      <c r="C40" s="68"/>
      <c r="D40" s="68" t="s">
        <v>1113</v>
      </c>
      <c r="E40" s="141">
        <v>238490</v>
      </c>
      <c r="F40" s="142">
        <v>0.36530000000000001</v>
      </c>
      <c r="G40" s="141">
        <v>293609</v>
      </c>
      <c r="H40" s="142">
        <v>-0.18770000000000001</v>
      </c>
      <c r="I40" s="141">
        <v>2119923</v>
      </c>
      <c r="J40" s="142">
        <v>-0.28989999999999999</v>
      </c>
      <c r="K40" s="68"/>
      <c r="L40" s="68"/>
      <c r="M40" s="68"/>
      <c r="N40" s="68"/>
      <c r="O40" s="68"/>
      <c r="P40" s="68"/>
      <c r="Q40" s="68"/>
      <c r="R40" s="68"/>
      <c r="S40" s="68"/>
    </row>
    <row r="41" spans="1:19">
      <c r="A41" s="63">
        <v>1314</v>
      </c>
      <c r="C41" s="68"/>
      <c r="D41" s="68" t="s">
        <v>1114</v>
      </c>
      <c r="E41" s="141">
        <v>174682</v>
      </c>
      <c r="F41" s="142">
        <v>-0.36170000000000002</v>
      </c>
      <c r="G41" s="141">
        <v>358743</v>
      </c>
      <c r="H41" s="142">
        <v>-0.5131</v>
      </c>
      <c r="I41" s="141">
        <v>1881433</v>
      </c>
      <c r="J41" s="142">
        <v>-0.30099999999999999</v>
      </c>
      <c r="K41" s="68"/>
      <c r="L41" s="68"/>
      <c r="M41" s="68"/>
      <c r="N41" s="68"/>
      <c r="O41" s="68"/>
      <c r="P41" s="68"/>
      <c r="Q41" s="68"/>
      <c r="R41" s="68"/>
      <c r="S41" s="68"/>
    </row>
    <row r="42" spans="1:19">
      <c r="A42" s="63">
        <v>1315</v>
      </c>
      <c r="C42" s="68"/>
      <c r="D42" s="68" t="s">
        <v>1115</v>
      </c>
      <c r="E42" s="141">
        <v>273664</v>
      </c>
      <c r="F42" s="142">
        <v>8.6900000000000005E-2</v>
      </c>
      <c r="G42" s="141">
        <v>259044</v>
      </c>
      <c r="H42" s="142">
        <v>5.6399999999999999E-2</v>
      </c>
      <c r="I42" s="141">
        <v>1706751</v>
      </c>
      <c r="J42" s="142">
        <v>-0.26840000000000003</v>
      </c>
      <c r="K42" s="68"/>
      <c r="L42" s="68"/>
      <c r="M42" s="68"/>
      <c r="N42" s="68"/>
      <c r="O42" s="68"/>
      <c r="P42" s="68"/>
      <c r="Q42" s="68"/>
      <c r="R42" s="68"/>
      <c r="S42" s="68"/>
    </row>
    <row r="43" spans="1:19">
      <c r="A43" s="63">
        <v>1316</v>
      </c>
      <c r="C43" s="68"/>
      <c r="D43" s="68" t="s">
        <v>1116</v>
      </c>
      <c r="E43" s="141">
        <v>251782</v>
      </c>
      <c r="F43" s="142">
        <v>4.2299999999999997E-2</v>
      </c>
      <c r="G43" s="141">
        <v>345008</v>
      </c>
      <c r="H43" s="142">
        <v>-0.2702</v>
      </c>
      <c r="I43" s="141">
        <v>1433087</v>
      </c>
      <c r="J43" s="142">
        <v>-0.309</v>
      </c>
      <c r="K43" s="68"/>
      <c r="L43" s="68"/>
      <c r="M43" s="68"/>
      <c r="N43" s="68"/>
      <c r="O43" s="68"/>
      <c r="P43" s="68"/>
      <c r="Q43" s="68"/>
      <c r="R43" s="68"/>
      <c r="S43" s="68"/>
    </row>
    <row r="44" spans="1:19">
      <c r="A44" s="63">
        <v>1319</v>
      </c>
      <c r="C44" s="68"/>
      <c r="D44" s="68" t="s">
        <v>1117</v>
      </c>
      <c r="E44" s="141">
        <v>241566</v>
      </c>
      <c r="F44" s="142">
        <v>-0.2303</v>
      </c>
      <c r="G44" s="141">
        <v>441721</v>
      </c>
      <c r="H44" s="142">
        <v>-0.4531</v>
      </c>
      <c r="I44" s="141">
        <v>1181305</v>
      </c>
      <c r="J44" s="142">
        <v>-0.31680000000000003</v>
      </c>
      <c r="K44" s="68"/>
      <c r="L44" s="68"/>
      <c r="M44" s="68"/>
      <c r="N44" s="68"/>
      <c r="O44" s="68"/>
      <c r="P44" s="68"/>
      <c r="Q44" s="68"/>
      <c r="R44" s="68"/>
      <c r="S44" s="68"/>
    </row>
    <row r="45" spans="1:19">
      <c r="A45" s="63">
        <v>1321</v>
      </c>
      <c r="C45" s="68"/>
      <c r="D45" s="68" t="s">
        <v>1118</v>
      </c>
      <c r="E45" s="141">
        <v>313861</v>
      </c>
      <c r="F45" s="142">
        <v>-4.02E-2</v>
      </c>
      <c r="G45" s="141">
        <v>425643</v>
      </c>
      <c r="H45" s="142">
        <v>-0.2626</v>
      </c>
      <c r="I45" s="141">
        <v>939739</v>
      </c>
      <c r="J45" s="142">
        <v>-0.27</v>
      </c>
      <c r="K45" s="68"/>
      <c r="L45" s="68"/>
      <c r="M45" s="68"/>
      <c r="N45" s="68"/>
      <c r="O45" s="68"/>
      <c r="P45" s="68"/>
      <c r="Q45" s="68"/>
      <c r="R45" s="68"/>
      <c r="S45" s="68"/>
    </row>
    <row r="46" spans="1:19">
      <c r="A46" s="63">
        <v>1323</v>
      </c>
      <c r="C46" s="68"/>
      <c r="D46" s="68" t="s">
        <v>1119</v>
      </c>
      <c r="E46" s="141">
        <v>327002</v>
      </c>
      <c r="F46" s="142">
        <v>9.4100000000000003E-2</v>
      </c>
      <c r="G46" s="141">
        <v>425615</v>
      </c>
      <c r="H46" s="142">
        <v>-0.23169999999999999</v>
      </c>
      <c r="I46" s="141">
        <v>625878</v>
      </c>
      <c r="J46" s="142">
        <v>-0.27360000000000001</v>
      </c>
      <c r="K46" s="68"/>
      <c r="L46" s="68"/>
      <c r="M46" s="68"/>
      <c r="N46" s="68"/>
      <c r="O46" s="68"/>
      <c r="P46" s="68"/>
      <c r="Q46" s="68"/>
      <c r="R46" s="68"/>
      <c r="S46" s="68"/>
    </row>
    <row r="47" spans="1:19">
      <c r="A47" s="63">
        <v>1324</v>
      </c>
      <c r="C47" s="68"/>
      <c r="D47" s="68" t="s">
        <v>1120</v>
      </c>
      <c r="E47" s="141">
        <v>298876</v>
      </c>
      <c r="F47" s="142">
        <v>-0.1018</v>
      </c>
      <c r="G47" s="141">
        <v>435999</v>
      </c>
      <c r="H47" s="142">
        <v>-0.3145</v>
      </c>
      <c r="I47" s="141">
        <v>298876</v>
      </c>
      <c r="J47" s="142">
        <v>-0.3145</v>
      </c>
      <c r="K47" s="68"/>
      <c r="L47" s="68"/>
      <c r="M47" s="68"/>
      <c r="N47" s="68"/>
      <c r="O47" s="68"/>
      <c r="P47" s="68"/>
      <c r="Q47" s="68"/>
      <c r="R47" s="68"/>
      <c r="S47" s="68"/>
    </row>
    <row r="48" spans="1:19">
      <c r="A48" s="63">
        <v>1325</v>
      </c>
      <c r="C48" s="68"/>
      <c r="D48" s="68" t="s">
        <v>1121</v>
      </c>
      <c r="E48" s="141">
        <v>332739</v>
      </c>
      <c r="F48" s="142">
        <v>0.21160000000000001</v>
      </c>
      <c r="G48" s="68"/>
      <c r="H48" s="68"/>
      <c r="I48" s="141">
        <v>4286875</v>
      </c>
      <c r="J48" s="68"/>
      <c r="K48" s="68"/>
      <c r="L48" s="68"/>
      <c r="M48" s="68"/>
      <c r="N48" s="68"/>
      <c r="O48" s="68"/>
      <c r="P48" s="68"/>
      <c r="Q48" s="68"/>
      <c r="R48" s="68"/>
      <c r="S48" s="68"/>
    </row>
    <row r="49" spans="1:19">
      <c r="A49" s="63">
        <v>1326</v>
      </c>
      <c r="C49" s="68"/>
      <c r="D49" s="68" t="s">
        <v>1122</v>
      </c>
      <c r="E49" s="141">
        <v>274638</v>
      </c>
      <c r="F49" s="142">
        <v>-0.18029999999999999</v>
      </c>
      <c r="G49" s="68"/>
      <c r="H49" s="68"/>
      <c r="I49" s="141">
        <v>3954136</v>
      </c>
      <c r="J49" s="68"/>
      <c r="K49" s="68"/>
      <c r="L49" s="68"/>
      <c r="M49" s="68"/>
      <c r="N49" s="68"/>
      <c r="O49" s="68"/>
      <c r="P49" s="68"/>
      <c r="Q49" s="68"/>
      <c r="R49" s="68"/>
      <c r="S49" s="68"/>
    </row>
    <row r="50" spans="1:19">
      <c r="A50" s="63">
        <v>1333</v>
      </c>
      <c r="C50" s="68"/>
      <c r="D50" s="68" t="s">
        <v>1123</v>
      </c>
      <c r="E50" s="141">
        <v>335061</v>
      </c>
      <c r="F50" s="142">
        <v>-6.6799999999999998E-2</v>
      </c>
      <c r="G50" s="68"/>
      <c r="H50" s="68"/>
      <c r="I50" s="141">
        <v>3679498</v>
      </c>
      <c r="J50" s="68"/>
      <c r="K50" s="68"/>
      <c r="L50" s="68"/>
      <c r="M50" s="68"/>
      <c r="N50" s="68"/>
      <c r="O50" s="68"/>
      <c r="P50" s="68"/>
      <c r="Q50" s="68"/>
      <c r="R50" s="68"/>
      <c r="S50" s="68"/>
    </row>
    <row r="51" spans="1:19">
      <c r="A51" s="63">
        <v>1336</v>
      </c>
      <c r="C51" s="68"/>
      <c r="D51" s="68" t="s">
        <v>1124</v>
      </c>
      <c r="E51" s="141">
        <v>359055</v>
      </c>
      <c r="F51" s="142">
        <v>0.22289999999999999</v>
      </c>
      <c r="G51" s="68"/>
      <c r="H51" s="68"/>
      <c r="I51" s="141">
        <v>3344437</v>
      </c>
      <c r="J51" s="68"/>
      <c r="K51" s="68"/>
      <c r="L51" s="68"/>
      <c r="M51" s="68"/>
      <c r="N51" s="68"/>
      <c r="O51" s="68"/>
      <c r="P51" s="68"/>
      <c r="Q51" s="68"/>
      <c r="R51" s="68"/>
      <c r="S51" s="68"/>
    </row>
    <row r="52" spans="1:19">
      <c r="A52" s="63">
        <v>1337</v>
      </c>
      <c r="C52" s="68"/>
      <c r="D52" s="68" t="s">
        <v>1125</v>
      </c>
      <c r="E52" s="141">
        <v>293609</v>
      </c>
      <c r="F52" s="142">
        <v>-0.18160000000000001</v>
      </c>
      <c r="G52" s="68"/>
      <c r="H52" s="68"/>
      <c r="I52" s="141">
        <v>2985382</v>
      </c>
      <c r="J52" s="68"/>
      <c r="K52" s="68"/>
      <c r="L52" s="68"/>
      <c r="M52" s="68"/>
      <c r="N52" s="68"/>
      <c r="O52" s="68"/>
      <c r="P52" s="68"/>
      <c r="Q52" s="68"/>
      <c r="R52" s="68"/>
      <c r="S52" s="68"/>
    </row>
    <row r="53" spans="1:19">
      <c r="A53" s="63">
        <v>1338</v>
      </c>
      <c r="C53" s="68"/>
      <c r="D53" s="68" t="s">
        <v>1126</v>
      </c>
      <c r="E53" s="141">
        <v>358743</v>
      </c>
      <c r="F53" s="142">
        <v>0.38490000000000002</v>
      </c>
      <c r="G53" s="68"/>
      <c r="H53" s="68"/>
      <c r="I53" s="141">
        <v>2691773</v>
      </c>
      <c r="J53" s="68"/>
      <c r="K53" s="68"/>
      <c r="L53" s="68"/>
      <c r="M53" s="68"/>
      <c r="N53" s="68"/>
      <c r="O53" s="68"/>
      <c r="P53" s="68"/>
      <c r="Q53" s="68"/>
      <c r="R53" s="68"/>
      <c r="S53" s="68"/>
    </row>
    <row r="54" spans="1:19">
      <c r="A54" s="63">
        <v>1339</v>
      </c>
      <c r="C54" s="68"/>
      <c r="D54" s="68" t="s">
        <v>1127</v>
      </c>
      <c r="E54" s="141">
        <v>259044</v>
      </c>
      <c r="F54" s="142">
        <v>-0.2492</v>
      </c>
      <c r="G54" s="68"/>
      <c r="H54" s="68"/>
      <c r="I54" s="141">
        <v>2333030</v>
      </c>
      <c r="J54" s="68"/>
      <c r="K54" s="68"/>
      <c r="L54" s="68"/>
      <c r="M54" s="68"/>
      <c r="N54" s="68"/>
      <c r="O54" s="68"/>
      <c r="P54" s="68"/>
      <c r="Q54" s="68"/>
      <c r="R54" s="68"/>
      <c r="S54" s="68"/>
    </row>
    <row r="55" spans="1:19">
      <c r="A55" s="63">
        <v>1340</v>
      </c>
      <c r="C55" s="68"/>
      <c r="D55" s="68" t="s">
        <v>1128</v>
      </c>
      <c r="E55" s="141">
        <v>345008</v>
      </c>
      <c r="F55" s="142">
        <v>-0.21890000000000001</v>
      </c>
      <c r="G55" s="68"/>
      <c r="H55" s="68"/>
      <c r="I55" s="141">
        <v>2073986</v>
      </c>
      <c r="J55" s="68"/>
      <c r="K55" s="68"/>
      <c r="L55" s="68"/>
      <c r="M55" s="68"/>
      <c r="N55" s="68"/>
      <c r="O55" s="68"/>
      <c r="P55" s="68"/>
      <c r="Q55" s="68"/>
      <c r="R55" s="68"/>
      <c r="S55" s="68"/>
    </row>
    <row r="56" spans="1:19">
      <c r="A56" s="63">
        <v>1402</v>
      </c>
      <c r="C56" s="68"/>
      <c r="D56" s="68" t="s">
        <v>1129</v>
      </c>
      <c r="E56" s="141">
        <v>441721</v>
      </c>
      <c r="F56" s="142">
        <v>3.78E-2</v>
      </c>
      <c r="G56" s="68"/>
      <c r="H56" s="68"/>
      <c r="I56" s="141">
        <v>1728978</v>
      </c>
      <c r="J56" s="68"/>
      <c r="K56" s="68"/>
      <c r="L56" s="68"/>
      <c r="M56" s="68"/>
      <c r="N56" s="68"/>
      <c r="O56" s="68"/>
      <c r="P56" s="68"/>
      <c r="Q56" s="68"/>
      <c r="R56" s="68"/>
      <c r="S56" s="68"/>
    </row>
    <row r="57" spans="1:19">
      <c r="A57" s="63">
        <v>1409</v>
      </c>
      <c r="C57" s="68"/>
      <c r="D57" s="68" t="s">
        <v>1130</v>
      </c>
      <c r="E57" s="141">
        <v>425643</v>
      </c>
      <c r="F57" s="142">
        <v>1E-4</v>
      </c>
      <c r="G57" s="68"/>
      <c r="H57" s="68"/>
      <c r="I57" s="141">
        <v>1287257</v>
      </c>
      <c r="J57" s="68"/>
      <c r="K57" s="68"/>
      <c r="L57" s="68"/>
      <c r="M57" s="68"/>
      <c r="N57" s="68"/>
      <c r="O57" s="68"/>
      <c r="P57" s="68"/>
      <c r="Q57" s="68"/>
      <c r="R57" s="68"/>
      <c r="S57" s="68"/>
    </row>
    <row r="58" spans="1:19">
      <c r="A58" s="63">
        <v>1410</v>
      </c>
      <c r="C58" s="68"/>
      <c r="D58" s="68" t="s">
        <v>1131</v>
      </c>
      <c r="E58" s="141">
        <v>425615</v>
      </c>
      <c r="F58" s="142">
        <v>-2.3800000000000002E-2</v>
      </c>
      <c r="G58" s="68"/>
      <c r="H58" s="68"/>
      <c r="I58" s="141">
        <v>861614</v>
      </c>
      <c r="J58" s="68"/>
      <c r="K58" s="68"/>
      <c r="L58" s="68"/>
      <c r="M58" s="68"/>
      <c r="N58" s="68"/>
      <c r="O58" s="68"/>
      <c r="P58" s="68"/>
      <c r="Q58" s="68"/>
      <c r="R58" s="68"/>
      <c r="S58" s="68"/>
    </row>
    <row r="59" spans="1:19">
      <c r="A59" s="63">
        <v>1413</v>
      </c>
      <c r="C59" s="68"/>
      <c r="D59" s="68" t="s">
        <v>1132</v>
      </c>
      <c r="E59" s="141">
        <v>435999</v>
      </c>
      <c r="F59" s="68"/>
      <c r="G59" s="68"/>
      <c r="H59" s="68"/>
      <c r="I59" s="141">
        <v>435999</v>
      </c>
      <c r="J59" s="68"/>
      <c r="K59" s="68"/>
      <c r="L59" s="68"/>
      <c r="M59" s="68"/>
      <c r="N59" s="68"/>
      <c r="O59" s="68"/>
      <c r="P59" s="68"/>
      <c r="Q59" s="68"/>
      <c r="R59" s="68"/>
      <c r="S59" s="68"/>
    </row>
    <row r="60" spans="1:19">
      <c r="A60" s="63">
        <v>1414</v>
      </c>
      <c r="C60" s="68"/>
      <c r="D60" s="68" t="s">
        <v>1133</v>
      </c>
      <c r="E60" s="68"/>
      <c r="F60" s="68"/>
      <c r="G60" s="68"/>
      <c r="H60" s="68"/>
      <c r="I60" s="68"/>
      <c r="J60" s="68"/>
      <c r="K60" s="68"/>
      <c r="L60" s="68"/>
      <c r="M60" s="68"/>
      <c r="N60" s="68"/>
      <c r="O60" s="68"/>
      <c r="P60" s="68"/>
      <c r="Q60" s="68"/>
      <c r="R60" s="68"/>
      <c r="S60" s="68"/>
    </row>
    <row r="61" spans="1:19">
      <c r="A61" s="63">
        <v>1416</v>
      </c>
      <c r="C61" s="68"/>
      <c r="D61" s="68" t="s">
        <v>1134</v>
      </c>
      <c r="E61" s="68"/>
      <c r="F61" s="68"/>
      <c r="G61" s="68"/>
      <c r="H61" s="68"/>
      <c r="I61" s="68"/>
      <c r="J61" s="68"/>
      <c r="K61" s="68"/>
      <c r="L61" s="68"/>
      <c r="M61" s="68"/>
      <c r="N61" s="68"/>
      <c r="O61" s="68"/>
      <c r="P61" s="68"/>
      <c r="Q61" s="68"/>
      <c r="R61" s="68"/>
      <c r="S61" s="68"/>
    </row>
    <row r="62" spans="1:19">
      <c r="A62" s="63">
        <v>1417</v>
      </c>
      <c r="C62" s="68"/>
      <c r="D62" s="68" t="s">
        <v>1135</v>
      </c>
      <c r="E62" s="68"/>
      <c r="F62" s="68"/>
      <c r="G62" s="68"/>
      <c r="H62" s="68"/>
      <c r="I62" s="68"/>
      <c r="J62" s="68"/>
      <c r="K62" s="68"/>
      <c r="L62" s="68"/>
      <c r="M62" s="68"/>
      <c r="N62" s="68"/>
      <c r="O62" s="68"/>
      <c r="P62" s="68"/>
      <c r="Q62" s="68"/>
      <c r="R62" s="68"/>
      <c r="S62" s="68"/>
    </row>
    <row r="63" spans="1:19">
      <c r="A63" s="63">
        <v>1418</v>
      </c>
      <c r="C63" s="68"/>
      <c r="D63" s="68" t="s">
        <v>1136</v>
      </c>
      <c r="E63" s="68"/>
      <c r="F63" s="68"/>
      <c r="G63" s="68"/>
      <c r="H63" s="68"/>
      <c r="I63" s="68"/>
      <c r="J63" s="68"/>
      <c r="K63" s="68"/>
      <c r="L63" s="68"/>
      <c r="M63" s="68"/>
      <c r="N63" s="68"/>
      <c r="O63" s="68"/>
      <c r="P63" s="68"/>
      <c r="Q63" s="68"/>
      <c r="R63" s="68"/>
      <c r="S63" s="68"/>
    </row>
    <row r="64" spans="1:19">
      <c r="A64" s="63">
        <v>1419</v>
      </c>
      <c r="C64" s="68"/>
      <c r="D64" s="68"/>
      <c r="E64" s="68"/>
      <c r="F64" s="68"/>
      <c r="G64" s="68"/>
      <c r="H64" s="68"/>
      <c r="I64" s="68"/>
      <c r="J64" s="68"/>
      <c r="K64" s="68"/>
      <c r="L64" s="68"/>
      <c r="M64" s="68"/>
      <c r="N64" s="68"/>
      <c r="O64" s="68"/>
      <c r="P64" s="68"/>
      <c r="Q64" s="68"/>
      <c r="R64" s="68"/>
      <c r="S64" s="68"/>
    </row>
    <row r="65" spans="1:1">
      <c r="A65" s="63">
        <v>1423</v>
      </c>
    </row>
    <row r="66" spans="1:1">
      <c r="A66" s="63">
        <v>1432</v>
      </c>
    </row>
    <row r="67" spans="1:1">
      <c r="A67" s="63">
        <v>1434</v>
      </c>
    </row>
    <row r="68" spans="1:1">
      <c r="A68" s="63">
        <v>1435</v>
      </c>
    </row>
    <row r="69" spans="1:1">
      <c r="A69" s="63">
        <v>1436</v>
      </c>
    </row>
    <row r="70" spans="1:1">
      <c r="A70" s="63">
        <v>1437</v>
      </c>
    </row>
    <row r="71" spans="1:1">
      <c r="A71" s="63">
        <v>1438</v>
      </c>
    </row>
    <row r="72" spans="1:1">
      <c r="A72" s="63">
        <v>1439</v>
      </c>
    </row>
    <row r="73" spans="1:1">
      <c r="A73" s="63">
        <v>1440</v>
      </c>
    </row>
    <row r="74" spans="1:1">
      <c r="A74" s="63">
        <v>1441</v>
      </c>
    </row>
    <row r="75" spans="1:1">
      <c r="A75" s="63">
        <v>1442</v>
      </c>
    </row>
    <row r="76" spans="1:1">
      <c r="A76" s="63">
        <v>1443</v>
      </c>
    </row>
    <row r="77" spans="1:1">
      <c r="A77" s="63">
        <v>1444</v>
      </c>
    </row>
    <row r="78" spans="1:1">
      <c r="A78" s="63">
        <v>1445</v>
      </c>
    </row>
    <row r="79" spans="1:1">
      <c r="A79" s="63">
        <v>1446</v>
      </c>
    </row>
    <row r="80" spans="1:1">
      <c r="A80" s="63">
        <v>1447</v>
      </c>
    </row>
    <row r="81" spans="1:1">
      <c r="A81" s="63">
        <v>1449</v>
      </c>
    </row>
    <row r="82" spans="1:1">
      <c r="A82" s="63">
        <v>1451</v>
      </c>
    </row>
    <row r="83" spans="1:1">
      <c r="A83" s="63">
        <v>1452</v>
      </c>
    </row>
    <row r="84" spans="1:1">
      <c r="A84" s="63">
        <v>1453</v>
      </c>
    </row>
    <row r="85" spans="1:1">
      <c r="A85" s="63">
        <v>1454</v>
      </c>
    </row>
    <row r="86" spans="1:1">
      <c r="A86" s="63">
        <v>1455</v>
      </c>
    </row>
    <row r="87" spans="1:1">
      <c r="A87" s="63">
        <v>1456</v>
      </c>
    </row>
    <row r="88" spans="1:1">
      <c r="A88" s="63">
        <v>1457</v>
      </c>
    </row>
    <row r="89" spans="1:1">
      <c r="A89" s="63">
        <v>1459</v>
      </c>
    </row>
    <row r="90" spans="1:1">
      <c r="A90" s="63">
        <v>1460</v>
      </c>
    </row>
    <row r="91" spans="1:1">
      <c r="A91" s="63">
        <v>1463</v>
      </c>
    </row>
    <row r="92" spans="1:1">
      <c r="A92" s="63">
        <v>1464</v>
      </c>
    </row>
    <row r="93" spans="1:1">
      <c r="A93" s="63">
        <v>1465</v>
      </c>
    </row>
    <row r="94" spans="1:1">
      <c r="A94" s="63">
        <v>1466</v>
      </c>
    </row>
    <row r="95" spans="1:1">
      <c r="A95" s="63">
        <v>1467</v>
      </c>
    </row>
    <row r="96" spans="1:1">
      <c r="A96" s="63">
        <v>1468</v>
      </c>
    </row>
    <row r="97" spans="1:1">
      <c r="A97" s="63">
        <v>1469</v>
      </c>
    </row>
    <row r="98" spans="1:1">
      <c r="A98" s="63">
        <v>1470</v>
      </c>
    </row>
    <row r="99" spans="1:1">
      <c r="A99" s="63">
        <v>1471</v>
      </c>
    </row>
    <row r="100" spans="1:1">
      <c r="A100" s="63">
        <v>1472</v>
      </c>
    </row>
    <row r="101" spans="1:1">
      <c r="A101" s="63">
        <v>1473</v>
      </c>
    </row>
    <row r="102" spans="1:1">
      <c r="A102" s="63">
        <v>1474</v>
      </c>
    </row>
    <row r="103" spans="1:1">
      <c r="A103" s="63">
        <v>1475</v>
      </c>
    </row>
    <row r="104" spans="1:1">
      <c r="A104" s="63">
        <v>1476</v>
      </c>
    </row>
    <row r="105" spans="1:1">
      <c r="A105" s="63">
        <v>1477</v>
      </c>
    </row>
    <row r="106" spans="1:1">
      <c r="A106" s="63">
        <v>1503</v>
      </c>
    </row>
    <row r="107" spans="1:1">
      <c r="A107" s="63">
        <v>1504</v>
      </c>
    </row>
    <row r="108" spans="1:1">
      <c r="A108" s="63">
        <v>1506</v>
      </c>
    </row>
    <row r="109" spans="1:1">
      <c r="A109" s="63">
        <v>1507</v>
      </c>
    </row>
    <row r="110" spans="1:1">
      <c r="A110" s="63">
        <v>1512</v>
      </c>
    </row>
    <row r="111" spans="1:1">
      <c r="A111" s="63">
        <v>1513</v>
      </c>
    </row>
    <row r="112" spans="1:1">
      <c r="A112" s="63">
        <v>1514</v>
      </c>
    </row>
    <row r="113" spans="1:1">
      <c r="A113" s="63">
        <v>1515</v>
      </c>
    </row>
    <row r="114" spans="1:1">
      <c r="A114" s="63">
        <v>1516</v>
      </c>
    </row>
    <row r="115" spans="1:1">
      <c r="A115" s="63">
        <v>1517</v>
      </c>
    </row>
    <row r="116" spans="1:1">
      <c r="A116" s="63">
        <v>1519</v>
      </c>
    </row>
    <row r="117" spans="1:1">
      <c r="A117" s="63">
        <v>1521</v>
      </c>
    </row>
    <row r="118" spans="1:1">
      <c r="A118" s="63">
        <v>1522</v>
      </c>
    </row>
    <row r="119" spans="1:1">
      <c r="A119" s="63">
        <v>1524</v>
      </c>
    </row>
    <row r="120" spans="1:1">
      <c r="A120" s="63">
        <v>1525</v>
      </c>
    </row>
    <row r="121" spans="1:1">
      <c r="A121" s="63">
        <v>1526</v>
      </c>
    </row>
    <row r="122" spans="1:1">
      <c r="A122" s="63">
        <v>1527</v>
      </c>
    </row>
    <row r="123" spans="1:1">
      <c r="A123" s="63">
        <v>1528</v>
      </c>
    </row>
    <row r="124" spans="1:1">
      <c r="A124" s="63">
        <v>1529</v>
      </c>
    </row>
    <row r="125" spans="1:1">
      <c r="A125" s="63">
        <v>1530</v>
      </c>
    </row>
    <row r="126" spans="1:1">
      <c r="A126" s="63">
        <v>1531</v>
      </c>
    </row>
    <row r="127" spans="1:1">
      <c r="A127" s="63">
        <v>1532</v>
      </c>
    </row>
    <row r="128" spans="1:1">
      <c r="A128" s="63">
        <v>1533</v>
      </c>
    </row>
    <row r="129" spans="1:1">
      <c r="A129" s="63">
        <v>1535</v>
      </c>
    </row>
    <row r="130" spans="1:1">
      <c r="A130" s="63">
        <v>1536</v>
      </c>
    </row>
    <row r="131" spans="1:1">
      <c r="A131" s="63">
        <v>1537</v>
      </c>
    </row>
    <row r="132" spans="1:1">
      <c r="A132" s="63">
        <v>1538</v>
      </c>
    </row>
    <row r="133" spans="1:1">
      <c r="A133" s="63">
        <v>1539</v>
      </c>
    </row>
    <row r="134" spans="1:1">
      <c r="A134" s="63">
        <v>1540</v>
      </c>
    </row>
    <row r="135" spans="1:1">
      <c r="A135" s="63">
        <v>1541</v>
      </c>
    </row>
    <row r="136" spans="1:1">
      <c r="A136" s="63">
        <v>1558</v>
      </c>
    </row>
    <row r="137" spans="1:1">
      <c r="A137" s="63">
        <v>1560</v>
      </c>
    </row>
    <row r="138" spans="1:1">
      <c r="A138" s="63">
        <v>1565</v>
      </c>
    </row>
    <row r="139" spans="1:1">
      <c r="A139" s="63">
        <v>1566</v>
      </c>
    </row>
    <row r="140" spans="1:1">
      <c r="A140" s="63">
        <v>1568</v>
      </c>
    </row>
    <row r="141" spans="1:1">
      <c r="A141" s="63">
        <v>1569</v>
      </c>
    </row>
    <row r="142" spans="1:1">
      <c r="A142" s="63">
        <v>1570</v>
      </c>
    </row>
    <row r="143" spans="1:1">
      <c r="A143" s="63">
        <v>1580</v>
      </c>
    </row>
    <row r="144" spans="1:1">
      <c r="A144" s="63">
        <v>1582</v>
      </c>
    </row>
    <row r="145" spans="1:1">
      <c r="A145" s="63">
        <v>1583</v>
      </c>
    </row>
    <row r="146" spans="1:1">
      <c r="A146" s="63">
        <v>1584</v>
      </c>
    </row>
    <row r="147" spans="1:1">
      <c r="A147" s="63">
        <v>1586</v>
      </c>
    </row>
    <row r="148" spans="1:1">
      <c r="A148" s="63">
        <v>1589</v>
      </c>
    </row>
    <row r="149" spans="1:1">
      <c r="A149" s="63">
        <v>1590</v>
      </c>
    </row>
    <row r="150" spans="1:1">
      <c r="A150" s="63">
        <v>1591</v>
      </c>
    </row>
    <row r="151" spans="1:1">
      <c r="A151" s="63">
        <v>1592</v>
      </c>
    </row>
    <row r="152" spans="1:1">
      <c r="A152" s="63">
        <v>1593</v>
      </c>
    </row>
    <row r="153" spans="1:1">
      <c r="A153" s="63">
        <v>1595</v>
      </c>
    </row>
    <row r="154" spans="1:1">
      <c r="A154" s="63">
        <v>1597</v>
      </c>
    </row>
    <row r="155" spans="1:1">
      <c r="A155" s="63">
        <v>1599</v>
      </c>
    </row>
    <row r="156" spans="1:1">
      <c r="A156" s="63">
        <v>1603</v>
      </c>
    </row>
    <row r="157" spans="1:1">
      <c r="A157" s="63">
        <v>1604</v>
      </c>
    </row>
    <row r="158" spans="1:1">
      <c r="A158" s="63">
        <v>1605</v>
      </c>
    </row>
    <row r="159" spans="1:1">
      <c r="A159" s="63">
        <v>1608</v>
      </c>
    </row>
    <row r="160" spans="1:1">
      <c r="A160" s="63">
        <v>1609</v>
      </c>
    </row>
    <row r="161" spans="1:1">
      <c r="A161" s="63">
        <v>1611</v>
      </c>
    </row>
    <row r="162" spans="1:1">
      <c r="A162" s="63">
        <v>1612</v>
      </c>
    </row>
    <row r="163" spans="1:1">
      <c r="A163" s="63">
        <v>1613</v>
      </c>
    </row>
    <row r="164" spans="1:1">
      <c r="A164" s="63">
        <v>1614</v>
      </c>
    </row>
    <row r="165" spans="1:1">
      <c r="A165" s="63">
        <v>1615</v>
      </c>
    </row>
    <row r="166" spans="1:1">
      <c r="A166" s="63">
        <v>1616</v>
      </c>
    </row>
    <row r="167" spans="1:1">
      <c r="A167" s="63">
        <v>1617</v>
      </c>
    </row>
    <row r="168" spans="1:1">
      <c r="A168" s="63">
        <v>1618</v>
      </c>
    </row>
    <row r="169" spans="1:1">
      <c r="A169" s="63">
        <v>1626</v>
      </c>
    </row>
    <row r="170" spans="1:1">
      <c r="A170" s="63">
        <v>1701</v>
      </c>
    </row>
    <row r="171" spans="1:1">
      <c r="A171" s="63">
        <v>1702</v>
      </c>
    </row>
    <row r="172" spans="1:1">
      <c r="A172" s="63">
        <v>1704</v>
      </c>
    </row>
    <row r="173" spans="1:1">
      <c r="A173" s="63">
        <v>1707</v>
      </c>
    </row>
    <row r="174" spans="1:1">
      <c r="A174" s="63">
        <v>1708</v>
      </c>
    </row>
    <row r="175" spans="1:1">
      <c r="A175" s="63">
        <v>1709</v>
      </c>
    </row>
    <row r="176" spans="1:1">
      <c r="A176" s="63">
        <v>1710</v>
      </c>
    </row>
    <row r="177" spans="1:1">
      <c r="A177" s="63">
        <v>1711</v>
      </c>
    </row>
    <row r="178" spans="1:1">
      <c r="A178" s="63">
        <v>1712</v>
      </c>
    </row>
    <row r="179" spans="1:1">
      <c r="A179" s="63">
        <v>1713</v>
      </c>
    </row>
    <row r="180" spans="1:1">
      <c r="A180" s="63">
        <v>1714</v>
      </c>
    </row>
    <row r="181" spans="1:1">
      <c r="A181" s="63">
        <v>1715</v>
      </c>
    </row>
    <row r="182" spans="1:1">
      <c r="A182" s="63">
        <v>1717</v>
      </c>
    </row>
    <row r="183" spans="1:1">
      <c r="A183" s="63">
        <v>1718</v>
      </c>
    </row>
    <row r="184" spans="1:1">
      <c r="A184" s="63">
        <v>1720</v>
      </c>
    </row>
    <row r="185" spans="1:1">
      <c r="A185" s="63">
        <v>1721</v>
      </c>
    </row>
    <row r="186" spans="1:1">
      <c r="A186" s="63">
        <v>1722</v>
      </c>
    </row>
    <row r="187" spans="1:1">
      <c r="A187" s="63">
        <v>1723</v>
      </c>
    </row>
    <row r="188" spans="1:1">
      <c r="A188" s="63">
        <v>1724</v>
      </c>
    </row>
    <row r="189" spans="1:1">
      <c r="A189" s="63">
        <v>1725</v>
      </c>
    </row>
    <row r="190" spans="1:1">
      <c r="A190" s="63">
        <v>1726</v>
      </c>
    </row>
    <row r="191" spans="1:1">
      <c r="A191" s="63">
        <v>1727</v>
      </c>
    </row>
    <row r="192" spans="1:1">
      <c r="A192" s="63">
        <v>1729</v>
      </c>
    </row>
    <row r="193" spans="1:1">
      <c r="A193" s="63">
        <v>1730</v>
      </c>
    </row>
    <row r="194" spans="1:1">
      <c r="A194" s="63">
        <v>1731</v>
      </c>
    </row>
    <row r="195" spans="1:1">
      <c r="A195" s="63">
        <v>1732</v>
      </c>
    </row>
    <row r="196" spans="1:1">
      <c r="A196" s="63">
        <v>1733</v>
      </c>
    </row>
    <row r="197" spans="1:1">
      <c r="A197" s="63">
        <v>1734</v>
      </c>
    </row>
    <row r="198" spans="1:1">
      <c r="A198" s="63">
        <v>1735</v>
      </c>
    </row>
    <row r="199" spans="1:1">
      <c r="A199" s="63">
        <v>1736</v>
      </c>
    </row>
    <row r="200" spans="1:1">
      <c r="A200" s="63">
        <v>1737</v>
      </c>
    </row>
    <row r="201" spans="1:1">
      <c r="A201" s="63">
        <v>1742</v>
      </c>
    </row>
    <row r="202" spans="1:1">
      <c r="A202" s="63">
        <v>1752</v>
      </c>
    </row>
    <row r="203" spans="1:1">
      <c r="A203" s="63">
        <v>1762</v>
      </c>
    </row>
    <row r="204" spans="1:1">
      <c r="A204" s="63">
        <v>1773</v>
      </c>
    </row>
    <row r="205" spans="1:1">
      <c r="A205" s="63">
        <v>1777</v>
      </c>
    </row>
    <row r="206" spans="1:1">
      <c r="A206" s="63">
        <v>1781</v>
      </c>
    </row>
    <row r="207" spans="1:1">
      <c r="A207" s="63">
        <v>1783</v>
      </c>
    </row>
    <row r="208" spans="1:1">
      <c r="A208" s="63">
        <v>1784</v>
      </c>
    </row>
    <row r="209" spans="1:1">
      <c r="A209" s="63">
        <v>1785</v>
      </c>
    </row>
    <row r="210" spans="1:1">
      <c r="A210" s="63">
        <v>1786</v>
      </c>
    </row>
    <row r="211" spans="1:1">
      <c r="A211" s="63">
        <v>1787</v>
      </c>
    </row>
    <row r="212" spans="1:1">
      <c r="A212" s="63">
        <v>1788</v>
      </c>
    </row>
    <row r="213" spans="1:1">
      <c r="A213" s="63">
        <v>1789</v>
      </c>
    </row>
    <row r="214" spans="1:1">
      <c r="A214" s="63">
        <v>1795</v>
      </c>
    </row>
    <row r="215" spans="1:1">
      <c r="A215" s="63">
        <v>1799</v>
      </c>
    </row>
    <row r="216" spans="1:1">
      <c r="A216" s="63">
        <v>1802</v>
      </c>
    </row>
    <row r="217" spans="1:1">
      <c r="A217" s="63">
        <v>1805</v>
      </c>
    </row>
    <row r="218" spans="1:1">
      <c r="A218" s="63">
        <v>1806</v>
      </c>
    </row>
    <row r="219" spans="1:1">
      <c r="A219" s="63">
        <v>1808</v>
      </c>
    </row>
    <row r="220" spans="1:1">
      <c r="A220" s="63">
        <v>1809</v>
      </c>
    </row>
    <row r="221" spans="1:1">
      <c r="A221" s="63">
        <v>1810</v>
      </c>
    </row>
    <row r="222" spans="1:1">
      <c r="A222" s="63">
        <v>1813</v>
      </c>
    </row>
    <row r="223" spans="1:1">
      <c r="A223" s="63">
        <v>1815</v>
      </c>
    </row>
    <row r="224" spans="1:1">
      <c r="A224" s="63">
        <v>1902</v>
      </c>
    </row>
    <row r="225" spans="1:1">
      <c r="A225" s="63">
        <v>1903</v>
      </c>
    </row>
    <row r="226" spans="1:1">
      <c r="A226" s="63">
        <v>1904</v>
      </c>
    </row>
    <row r="227" spans="1:1">
      <c r="A227" s="63">
        <v>1905</v>
      </c>
    </row>
    <row r="228" spans="1:1">
      <c r="A228" s="63">
        <v>1906</v>
      </c>
    </row>
    <row r="229" spans="1:1">
      <c r="A229" s="63">
        <v>1907</v>
      </c>
    </row>
    <row r="230" spans="1:1">
      <c r="A230" s="63">
        <v>1909</v>
      </c>
    </row>
    <row r="231" spans="1:1">
      <c r="A231" s="63">
        <v>2002</v>
      </c>
    </row>
    <row r="232" spans="1:1">
      <c r="A232" s="63">
        <v>2006</v>
      </c>
    </row>
    <row r="233" spans="1:1">
      <c r="A233" s="63">
        <v>2007</v>
      </c>
    </row>
    <row r="234" spans="1:1">
      <c r="A234" s="63">
        <v>2008</v>
      </c>
    </row>
    <row r="235" spans="1:1">
      <c r="A235" s="63">
        <v>2009</v>
      </c>
    </row>
    <row r="236" spans="1:1">
      <c r="A236" s="63">
        <v>2010</v>
      </c>
    </row>
    <row r="237" spans="1:1">
      <c r="A237" s="63">
        <v>2012</v>
      </c>
    </row>
    <row r="238" spans="1:1">
      <c r="A238" s="63">
        <v>2013</v>
      </c>
    </row>
    <row r="239" spans="1:1">
      <c r="A239" s="63">
        <v>2014</v>
      </c>
    </row>
    <row r="240" spans="1:1">
      <c r="A240" s="63">
        <v>2015</v>
      </c>
    </row>
    <row r="241" spans="1:1">
      <c r="A241" s="63">
        <v>2017</v>
      </c>
    </row>
    <row r="242" spans="1:1">
      <c r="A242" s="63">
        <v>2020</v>
      </c>
    </row>
    <row r="243" spans="1:1">
      <c r="A243" s="63">
        <v>2022</v>
      </c>
    </row>
    <row r="244" spans="1:1">
      <c r="A244" s="63">
        <v>2023</v>
      </c>
    </row>
    <row r="245" spans="1:1">
      <c r="A245" s="63">
        <v>2024</v>
      </c>
    </row>
    <row r="246" spans="1:1">
      <c r="A246" s="63">
        <v>2025</v>
      </c>
    </row>
    <row r="247" spans="1:1">
      <c r="A247" s="63">
        <v>2027</v>
      </c>
    </row>
    <row r="248" spans="1:1">
      <c r="A248" s="63">
        <v>2028</v>
      </c>
    </row>
    <row r="249" spans="1:1">
      <c r="A249" s="63">
        <v>2029</v>
      </c>
    </row>
    <row r="250" spans="1:1">
      <c r="A250" s="63">
        <v>2030</v>
      </c>
    </row>
    <row r="251" spans="1:1">
      <c r="A251" s="63">
        <v>2031</v>
      </c>
    </row>
    <row r="252" spans="1:1">
      <c r="A252" s="63">
        <v>2032</v>
      </c>
    </row>
    <row r="253" spans="1:1">
      <c r="A253" s="63">
        <v>2033</v>
      </c>
    </row>
    <row r="254" spans="1:1">
      <c r="A254" s="63">
        <v>2034</v>
      </c>
    </row>
    <row r="255" spans="1:1">
      <c r="A255" s="63">
        <v>2035</v>
      </c>
    </row>
    <row r="256" spans="1:1">
      <c r="A256" s="63">
        <v>2038</v>
      </c>
    </row>
    <row r="257" spans="1:1">
      <c r="A257" s="63">
        <v>2049</v>
      </c>
    </row>
    <row r="258" spans="1:1">
      <c r="A258" s="63">
        <v>2059</v>
      </c>
    </row>
    <row r="259" spans="1:1">
      <c r="A259" s="63">
        <v>2061</v>
      </c>
    </row>
    <row r="260" spans="1:1">
      <c r="A260" s="63">
        <v>2062</v>
      </c>
    </row>
    <row r="261" spans="1:1">
      <c r="A261" s="63">
        <v>2063</v>
      </c>
    </row>
    <row r="262" spans="1:1">
      <c r="A262" s="63">
        <v>2064</v>
      </c>
    </row>
    <row r="263" spans="1:1">
      <c r="A263" s="63">
        <v>2066</v>
      </c>
    </row>
    <row r="264" spans="1:1">
      <c r="A264" s="63">
        <v>2067</v>
      </c>
    </row>
    <row r="265" spans="1:1">
      <c r="A265" s="63">
        <v>2101</v>
      </c>
    </row>
    <row r="266" spans="1:1">
      <c r="A266" s="63">
        <v>2102</v>
      </c>
    </row>
    <row r="267" spans="1:1">
      <c r="A267" s="63">
        <v>2103</v>
      </c>
    </row>
    <row r="268" spans="1:1">
      <c r="A268" s="63">
        <v>2104</v>
      </c>
    </row>
    <row r="269" spans="1:1">
      <c r="A269" s="63">
        <v>2105</v>
      </c>
    </row>
    <row r="270" spans="1:1">
      <c r="A270" s="63">
        <v>2106</v>
      </c>
    </row>
    <row r="271" spans="1:1">
      <c r="A271" s="63">
        <v>2107</v>
      </c>
    </row>
    <row r="272" spans="1:1">
      <c r="A272" s="63">
        <v>2108</v>
      </c>
    </row>
    <row r="273" spans="1:1">
      <c r="A273" s="63">
        <v>2109</v>
      </c>
    </row>
    <row r="274" spans="1:1">
      <c r="A274" s="63">
        <v>2114</v>
      </c>
    </row>
    <row r="275" spans="1:1">
      <c r="A275" s="63">
        <v>2115</v>
      </c>
    </row>
    <row r="276" spans="1:1">
      <c r="A276" s="63">
        <v>2201</v>
      </c>
    </row>
    <row r="277" spans="1:1">
      <c r="A277" s="63">
        <v>2204</v>
      </c>
    </row>
    <row r="278" spans="1:1">
      <c r="A278" s="63">
        <v>2206</v>
      </c>
    </row>
    <row r="279" spans="1:1">
      <c r="A279" s="63">
        <v>2207</v>
      </c>
    </row>
    <row r="280" spans="1:1">
      <c r="A280" s="63">
        <v>2208</v>
      </c>
    </row>
    <row r="281" spans="1:1">
      <c r="A281" s="63">
        <v>2221</v>
      </c>
    </row>
    <row r="282" spans="1:1">
      <c r="A282" s="63">
        <v>2227</v>
      </c>
    </row>
    <row r="283" spans="1:1">
      <c r="A283" s="63">
        <v>2228</v>
      </c>
    </row>
    <row r="284" spans="1:1">
      <c r="A284" s="63">
        <v>2230</v>
      </c>
    </row>
    <row r="285" spans="1:1">
      <c r="A285" s="63">
        <v>2231</v>
      </c>
    </row>
    <row r="286" spans="1:1">
      <c r="A286" s="63">
        <v>2233</v>
      </c>
    </row>
    <row r="287" spans="1:1">
      <c r="A287" s="63">
        <v>2235</v>
      </c>
    </row>
    <row r="288" spans="1:1">
      <c r="A288" s="63">
        <v>2301</v>
      </c>
    </row>
    <row r="289" spans="1:1">
      <c r="A289" s="63">
        <v>2302</v>
      </c>
    </row>
    <row r="290" spans="1:1">
      <c r="A290" s="63">
        <v>2303</v>
      </c>
    </row>
    <row r="291" spans="1:1">
      <c r="A291" s="63">
        <v>2305</v>
      </c>
    </row>
    <row r="292" spans="1:1">
      <c r="A292" s="63">
        <v>2308</v>
      </c>
    </row>
    <row r="293" spans="1:1">
      <c r="A293" s="63">
        <v>2311</v>
      </c>
    </row>
    <row r="294" spans="1:1">
      <c r="A294" s="63">
        <v>2312</v>
      </c>
    </row>
    <row r="295" spans="1:1">
      <c r="A295" s="63">
        <v>2313</v>
      </c>
    </row>
    <row r="296" spans="1:1">
      <c r="A296" s="63">
        <v>2314</v>
      </c>
    </row>
    <row r="297" spans="1:1">
      <c r="A297" s="63">
        <v>2316</v>
      </c>
    </row>
    <row r="298" spans="1:1">
      <c r="A298" s="63">
        <v>2317</v>
      </c>
    </row>
    <row r="299" spans="1:1">
      <c r="A299" s="63">
        <v>2321</v>
      </c>
    </row>
    <row r="300" spans="1:1">
      <c r="A300" s="63">
        <v>2323</v>
      </c>
    </row>
    <row r="301" spans="1:1">
      <c r="A301" s="63">
        <v>2324</v>
      </c>
    </row>
    <row r="302" spans="1:1">
      <c r="A302" s="63">
        <v>2325</v>
      </c>
    </row>
    <row r="303" spans="1:1">
      <c r="A303" s="63">
        <v>2327</v>
      </c>
    </row>
    <row r="304" spans="1:1">
      <c r="A304" s="63">
        <v>2328</v>
      </c>
    </row>
    <row r="305" spans="1:1">
      <c r="A305" s="63">
        <v>2329</v>
      </c>
    </row>
    <row r="306" spans="1:1">
      <c r="A306" s="63">
        <v>2330</v>
      </c>
    </row>
    <row r="307" spans="1:1">
      <c r="A307" s="63">
        <v>2331</v>
      </c>
    </row>
    <row r="308" spans="1:1">
      <c r="A308" s="63">
        <v>2332</v>
      </c>
    </row>
    <row r="309" spans="1:1">
      <c r="A309" s="63">
        <v>2337</v>
      </c>
    </row>
    <row r="310" spans="1:1">
      <c r="A310" s="63">
        <v>2338</v>
      </c>
    </row>
    <row r="311" spans="1:1">
      <c r="A311" s="63">
        <v>2340</v>
      </c>
    </row>
    <row r="312" spans="1:1">
      <c r="A312" s="63">
        <v>2342</v>
      </c>
    </row>
    <row r="313" spans="1:1">
      <c r="A313" s="63">
        <v>2344</v>
      </c>
    </row>
    <row r="314" spans="1:1">
      <c r="A314" s="63">
        <v>2345</v>
      </c>
    </row>
    <row r="315" spans="1:1">
      <c r="A315" s="63">
        <v>2347</v>
      </c>
    </row>
    <row r="316" spans="1:1">
      <c r="A316" s="63">
        <v>2348</v>
      </c>
    </row>
    <row r="317" spans="1:1">
      <c r="A317" s="63">
        <v>2349</v>
      </c>
    </row>
    <row r="318" spans="1:1">
      <c r="A318" s="63">
        <v>2351</v>
      </c>
    </row>
    <row r="319" spans="1:1">
      <c r="A319" s="63">
        <v>2352</v>
      </c>
    </row>
    <row r="320" spans="1:1">
      <c r="A320" s="63">
        <v>2353</v>
      </c>
    </row>
    <row r="321" spans="1:1">
      <c r="A321" s="63">
        <v>2354</v>
      </c>
    </row>
    <row r="322" spans="1:1">
      <c r="A322" s="63">
        <v>2355</v>
      </c>
    </row>
    <row r="323" spans="1:1">
      <c r="A323" s="63">
        <v>2356</v>
      </c>
    </row>
    <row r="324" spans="1:1">
      <c r="A324" s="63">
        <v>2357</v>
      </c>
    </row>
    <row r="325" spans="1:1">
      <c r="A325" s="63">
        <v>2358</v>
      </c>
    </row>
    <row r="326" spans="1:1">
      <c r="A326" s="63">
        <v>2359</v>
      </c>
    </row>
    <row r="327" spans="1:1">
      <c r="A327" s="63">
        <v>2360</v>
      </c>
    </row>
    <row r="328" spans="1:1">
      <c r="A328" s="63">
        <v>2361</v>
      </c>
    </row>
    <row r="329" spans="1:1">
      <c r="A329" s="63">
        <v>2362</v>
      </c>
    </row>
    <row r="330" spans="1:1">
      <c r="A330" s="63">
        <v>2363</v>
      </c>
    </row>
    <row r="331" spans="1:1">
      <c r="A331" s="63">
        <v>2364</v>
      </c>
    </row>
    <row r="332" spans="1:1">
      <c r="A332" s="63">
        <v>2365</v>
      </c>
    </row>
    <row r="333" spans="1:1">
      <c r="A333" s="63">
        <v>2367</v>
      </c>
    </row>
    <row r="334" spans="1:1">
      <c r="A334" s="63">
        <v>2368</v>
      </c>
    </row>
    <row r="335" spans="1:1">
      <c r="A335" s="63">
        <v>2369</v>
      </c>
    </row>
    <row r="336" spans="1:1">
      <c r="A336" s="63">
        <v>2371</v>
      </c>
    </row>
    <row r="337" spans="1:1">
      <c r="A337" s="63">
        <v>2373</v>
      </c>
    </row>
    <row r="338" spans="1:1">
      <c r="A338" s="63">
        <v>2374</v>
      </c>
    </row>
    <row r="339" spans="1:1">
      <c r="A339" s="63">
        <v>2375</v>
      </c>
    </row>
    <row r="340" spans="1:1">
      <c r="A340" s="63">
        <v>2376</v>
      </c>
    </row>
    <row r="341" spans="1:1">
      <c r="A341" s="63">
        <v>2377</v>
      </c>
    </row>
    <row r="342" spans="1:1">
      <c r="A342" s="63">
        <v>2379</v>
      </c>
    </row>
    <row r="343" spans="1:1">
      <c r="A343" s="63">
        <v>2380</v>
      </c>
    </row>
    <row r="344" spans="1:1">
      <c r="A344" s="63">
        <v>2382</v>
      </c>
    </row>
    <row r="345" spans="1:1">
      <c r="A345" s="63">
        <v>2383</v>
      </c>
    </row>
    <row r="346" spans="1:1">
      <c r="A346" s="63">
        <v>2385</v>
      </c>
    </row>
    <row r="347" spans="1:1">
      <c r="A347" s="63">
        <v>2387</v>
      </c>
    </row>
    <row r="348" spans="1:1">
      <c r="A348" s="63">
        <v>2388</v>
      </c>
    </row>
    <row r="349" spans="1:1">
      <c r="A349" s="63">
        <v>2390</v>
      </c>
    </row>
    <row r="350" spans="1:1">
      <c r="A350" s="63">
        <v>2392</v>
      </c>
    </row>
    <row r="351" spans="1:1">
      <c r="A351" s="63">
        <v>2393</v>
      </c>
    </row>
    <row r="352" spans="1:1">
      <c r="A352" s="63">
        <v>2395</v>
      </c>
    </row>
    <row r="353" spans="1:1">
      <c r="A353" s="63">
        <v>2397</v>
      </c>
    </row>
    <row r="354" spans="1:1">
      <c r="A354" s="63">
        <v>2399</v>
      </c>
    </row>
    <row r="355" spans="1:1">
      <c r="A355" s="63">
        <v>2401</v>
      </c>
    </row>
    <row r="356" spans="1:1">
      <c r="A356" s="63">
        <v>2402</v>
      </c>
    </row>
    <row r="357" spans="1:1">
      <c r="A357" s="63">
        <v>2404</v>
      </c>
    </row>
    <row r="358" spans="1:1">
      <c r="A358" s="63">
        <v>2405</v>
      </c>
    </row>
    <row r="359" spans="1:1">
      <c r="A359" s="63">
        <v>2406</v>
      </c>
    </row>
    <row r="360" spans="1:1">
      <c r="A360" s="63">
        <v>2408</v>
      </c>
    </row>
    <row r="361" spans="1:1">
      <c r="A361" s="63">
        <v>2409</v>
      </c>
    </row>
    <row r="362" spans="1:1">
      <c r="A362" s="63">
        <v>2412</v>
      </c>
    </row>
    <row r="363" spans="1:1">
      <c r="A363" s="63">
        <v>2413</v>
      </c>
    </row>
    <row r="364" spans="1:1">
      <c r="A364" s="63">
        <v>2414</v>
      </c>
    </row>
    <row r="365" spans="1:1">
      <c r="A365" s="63">
        <v>2415</v>
      </c>
    </row>
    <row r="366" spans="1:1">
      <c r="A366" s="63">
        <v>2417</v>
      </c>
    </row>
    <row r="367" spans="1:1">
      <c r="A367" s="63">
        <v>2419</v>
      </c>
    </row>
    <row r="368" spans="1:1">
      <c r="A368" s="63">
        <v>2420</v>
      </c>
    </row>
    <row r="369" spans="1:1">
      <c r="A369" s="63">
        <v>2421</v>
      </c>
    </row>
    <row r="370" spans="1:1">
      <c r="A370" s="63">
        <v>2423</v>
      </c>
    </row>
    <row r="371" spans="1:1">
      <c r="A371" s="63">
        <v>2424</v>
      </c>
    </row>
    <row r="372" spans="1:1">
      <c r="A372" s="63">
        <v>2425</v>
      </c>
    </row>
    <row r="373" spans="1:1">
      <c r="A373" s="63">
        <v>2426</v>
      </c>
    </row>
    <row r="374" spans="1:1">
      <c r="A374" s="63">
        <v>2427</v>
      </c>
    </row>
    <row r="375" spans="1:1">
      <c r="A375" s="63">
        <v>2428</v>
      </c>
    </row>
    <row r="376" spans="1:1">
      <c r="A376" s="63">
        <v>2429</v>
      </c>
    </row>
    <row r="377" spans="1:1">
      <c r="A377" s="63">
        <v>2430</v>
      </c>
    </row>
    <row r="378" spans="1:1">
      <c r="A378" s="63">
        <v>2431</v>
      </c>
    </row>
    <row r="379" spans="1:1">
      <c r="A379" s="63">
        <v>2433</v>
      </c>
    </row>
    <row r="380" spans="1:1">
      <c r="A380" s="63">
        <v>2434</v>
      </c>
    </row>
    <row r="381" spans="1:1">
      <c r="A381" s="63">
        <v>2436</v>
      </c>
    </row>
    <row r="382" spans="1:1">
      <c r="A382" s="63">
        <v>2437</v>
      </c>
    </row>
    <row r="383" spans="1:1">
      <c r="A383" s="63">
        <v>2438</v>
      </c>
    </row>
    <row r="384" spans="1:1">
      <c r="A384" s="63">
        <v>2439</v>
      </c>
    </row>
    <row r="385" spans="1:1">
      <c r="A385" s="63">
        <v>2440</v>
      </c>
    </row>
    <row r="386" spans="1:1">
      <c r="A386" s="63">
        <v>2441</v>
      </c>
    </row>
    <row r="387" spans="1:1">
      <c r="A387" s="63">
        <v>2442</v>
      </c>
    </row>
    <row r="388" spans="1:1">
      <c r="A388" s="63">
        <v>2443</v>
      </c>
    </row>
    <row r="389" spans="1:1">
      <c r="A389" s="63">
        <v>2444</v>
      </c>
    </row>
    <row r="390" spans="1:1">
      <c r="A390" s="63">
        <v>2448</v>
      </c>
    </row>
    <row r="391" spans="1:1">
      <c r="A391" s="63">
        <v>2449</v>
      </c>
    </row>
    <row r="392" spans="1:1">
      <c r="A392" s="63">
        <v>2450</v>
      </c>
    </row>
    <row r="393" spans="1:1">
      <c r="A393" s="63">
        <v>2451</v>
      </c>
    </row>
    <row r="394" spans="1:1">
      <c r="A394" s="63">
        <v>2453</v>
      </c>
    </row>
    <row r="395" spans="1:1">
      <c r="A395" s="63">
        <v>2454</v>
      </c>
    </row>
    <row r="396" spans="1:1">
      <c r="A396" s="63">
        <v>2455</v>
      </c>
    </row>
    <row r="397" spans="1:1">
      <c r="A397" s="63">
        <v>2456</v>
      </c>
    </row>
    <row r="398" spans="1:1">
      <c r="A398" s="63">
        <v>2457</v>
      </c>
    </row>
    <row r="399" spans="1:1">
      <c r="A399" s="63">
        <v>2458</v>
      </c>
    </row>
    <row r="400" spans="1:1">
      <c r="A400" s="63">
        <v>2459</v>
      </c>
    </row>
    <row r="401" spans="1:1">
      <c r="A401" s="63">
        <v>2460</v>
      </c>
    </row>
    <row r="402" spans="1:1">
      <c r="A402" s="63">
        <v>2461</v>
      </c>
    </row>
    <row r="403" spans="1:1">
      <c r="A403" s="63">
        <v>2462</v>
      </c>
    </row>
    <row r="404" spans="1:1">
      <c r="A404" s="63">
        <v>2464</v>
      </c>
    </row>
    <row r="405" spans="1:1">
      <c r="A405" s="63">
        <v>2465</v>
      </c>
    </row>
    <row r="406" spans="1:1">
      <c r="A406" s="63">
        <v>2466</v>
      </c>
    </row>
    <row r="407" spans="1:1">
      <c r="A407" s="63">
        <v>2467</v>
      </c>
    </row>
    <row r="408" spans="1:1">
      <c r="A408" s="63">
        <v>2468</v>
      </c>
    </row>
    <row r="409" spans="1:1">
      <c r="A409" s="63">
        <v>2471</v>
      </c>
    </row>
    <row r="410" spans="1:1">
      <c r="A410" s="63">
        <v>2472</v>
      </c>
    </row>
    <row r="411" spans="1:1">
      <c r="A411" s="63">
        <v>2474</v>
      </c>
    </row>
    <row r="412" spans="1:1">
      <c r="A412" s="63">
        <v>2475</v>
      </c>
    </row>
    <row r="413" spans="1:1">
      <c r="A413" s="63">
        <v>2476</v>
      </c>
    </row>
    <row r="414" spans="1:1">
      <c r="A414" s="63">
        <v>2477</v>
      </c>
    </row>
    <row r="415" spans="1:1">
      <c r="A415" s="63">
        <v>2478</v>
      </c>
    </row>
    <row r="416" spans="1:1">
      <c r="A416" s="63">
        <v>2480</v>
      </c>
    </row>
    <row r="417" spans="1:1">
      <c r="A417" s="63">
        <v>2481</v>
      </c>
    </row>
    <row r="418" spans="1:1">
      <c r="A418" s="63">
        <v>2482</v>
      </c>
    </row>
    <row r="419" spans="1:1">
      <c r="A419" s="63">
        <v>2483</v>
      </c>
    </row>
    <row r="420" spans="1:1">
      <c r="A420" s="63">
        <v>2484</v>
      </c>
    </row>
    <row r="421" spans="1:1">
      <c r="A421" s="63">
        <v>2485</v>
      </c>
    </row>
    <row r="422" spans="1:1">
      <c r="A422" s="63">
        <v>2486</v>
      </c>
    </row>
    <row r="423" spans="1:1">
      <c r="A423" s="63">
        <v>2488</v>
      </c>
    </row>
    <row r="424" spans="1:1">
      <c r="A424" s="63">
        <v>2489</v>
      </c>
    </row>
    <row r="425" spans="1:1">
      <c r="A425" s="63">
        <v>2491</v>
      </c>
    </row>
    <row r="426" spans="1:1">
      <c r="A426" s="63">
        <v>2492</v>
      </c>
    </row>
    <row r="427" spans="1:1">
      <c r="A427" s="63">
        <v>2493</v>
      </c>
    </row>
    <row r="428" spans="1:1">
      <c r="A428" s="63">
        <v>2495</v>
      </c>
    </row>
    <row r="429" spans="1:1">
      <c r="A429" s="63">
        <v>2496</v>
      </c>
    </row>
    <row r="430" spans="1:1">
      <c r="A430" s="63">
        <v>2497</v>
      </c>
    </row>
    <row r="431" spans="1:1">
      <c r="A431" s="63">
        <v>2498</v>
      </c>
    </row>
    <row r="432" spans="1:1">
      <c r="A432" s="63">
        <v>2499</v>
      </c>
    </row>
    <row r="433" spans="1:1">
      <c r="A433" s="63">
        <v>2501</v>
      </c>
    </row>
    <row r="434" spans="1:1">
      <c r="A434" s="63">
        <v>2504</v>
      </c>
    </row>
    <row r="435" spans="1:1">
      <c r="A435" s="63">
        <v>2505</v>
      </c>
    </row>
    <row r="436" spans="1:1">
      <c r="A436" s="63">
        <v>2506</v>
      </c>
    </row>
    <row r="437" spans="1:1">
      <c r="A437" s="63">
        <v>2509</v>
      </c>
    </row>
    <row r="438" spans="1:1">
      <c r="A438" s="63">
        <v>2511</v>
      </c>
    </row>
    <row r="439" spans="1:1">
      <c r="A439" s="63">
        <v>2514</v>
      </c>
    </row>
    <row r="440" spans="1:1">
      <c r="A440" s="63">
        <v>2515</v>
      </c>
    </row>
    <row r="441" spans="1:1">
      <c r="A441" s="63">
        <v>2516</v>
      </c>
    </row>
    <row r="442" spans="1:1">
      <c r="A442" s="63">
        <v>2520</v>
      </c>
    </row>
    <row r="443" spans="1:1">
      <c r="A443" s="63">
        <v>2524</v>
      </c>
    </row>
    <row r="444" spans="1:1">
      <c r="A444" s="63">
        <v>2527</v>
      </c>
    </row>
    <row r="445" spans="1:1">
      <c r="A445" s="63">
        <v>2528</v>
      </c>
    </row>
    <row r="446" spans="1:1">
      <c r="A446" s="63">
        <v>2530</v>
      </c>
    </row>
    <row r="447" spans="1:1">
      <c r="A447" s="63">
        <v>2534</v>
      </c>
    </row>
    <row r="448" spans="1:1">
      <c r="A448" s="63">
        <v>2535</v>
      </c>
    </row>
    <row r="449" spans="1:1">
      <c r="A449" s="63">
        <v>2536</v>
      </c>
    </row>
    <row r="450" spans="1:1">
      <c r="A450" s="63">
        <v>2537</v>
      </c>
    </row>
    <row r="451" spans="1:1">
      <c r="A451" s="63">
        <v>2538</v>
      </c>
    </row>
    <row r="452" spans="1:1">
      <c r="A452" s="63">
        <v>2539</v>
      </c>
    </row>
    <row r="453" spans="1:1">
      <c r="A453" s="63">
        <v>2540</v>
      </c>
    </row>
    <row r="454" spans="1:1">
      <c r="A454" s="63">
        <v>2542</v>
      </c>
    </row>
    <row r="455" spans="1:1">
      <c r="A455" s="63">
        <v>2543</v>
      </c>
    </row>
    <row r="456" spans="1:1">
      <c r="A456" s="63">
        <v>2545</v>
      </c>
    </row>
    <row r="457" spans="1:1">
      <c r="A457" s="63">
        <v>2546</v>
      </c>
    </row>
    <row r="458" spans="1:1">
      <c r="A458" s="63">
        <v>2547</v>
      </c>
    </row>
    <row r="459" spans="1:1">
      <c r="A459" s="63">
        <v>2548</v>
      </c>
    </row>
    <row r="460" spans="1:1">
      <c r="A460" s="63">
        <v>2596</v>
      </c>
    </row>
    <row r="461" spans="1:1">
      <c r="A461" s="63">
        <v>2597</v>
      </c>
    </row>
    <row r="462" spans="1:1">
      <c r="A462" s="63">
        <v>2601</v>
      </c>
    </row>
    <row r="463" spans="1:1">
      <c r="A463" s="63">
        <v>2603</v>
      </c>
    </row>
    <row r="464" spans="1:1">
      <c r="A464" s="63">
        <v>2605</v>
      </c>
    </row>
    <row r="465" spans="1:1">
      <c r="A465" s="63">
        <v>2606</v>
      </c>
    </row>
    <row r="466" spans="1:1">
      <c r="A466" s="63">
        <v>2607</v>
      </c>
    </row>
    <row r="467" spans="1:1">
      <c r="A467" s="63">
        <v>2608</v>
      </c>
    </row>
    <row r="468" spans="1:1">
      <c r="A468" s="63">
        <v>2609</v>
      </c>
    </row>
    <row r="469" spans="1:1">
      <c r="A469" s="63">
        <v>2610</v>
      </c>
    </row>
    <row r="470" spans="1:1">
      <c r="A470" s="63">
        <v>2611</v>
      </c>
    </row>
    <row r="471" spans="1:1">
      <c r="A471" s="63">
        <v>2612</v>
      </c>
    </row>
    <row r="472" spans="1:1">
      <c r="A472" s="63">
        <v>2613</v>
      </c>
    </row>
    <row r="473" spans="1:1">
      <c r="A473" s="63">
        <v>2614</v>
      </c>
    </row>
    <row r="474" spans="1:1">
      <c r="A474" s="63">
        <v>2615</v>
      </c>
    </row>
    <row r="475" spans="1:1">
      <c r="A475" s="63">
        <v>2616</v>
      </c>
    </row>
    <row r="476" spans="1:1">
      <c r="A476" s="63">
        <v>2617</v>
      </c>
    </row>
    <row r="477" spans="1:1">
      <c r="A477" s="63">
        <v>2618</v>
      </c>
    </row>
    <row r="478" spans="1:1">
      <c r="A478" s="63">
        <v>2634</v>
      </c>
    </row>
    <row r="479" spans="1:1">
      <c r="A479" s="63">
        <v>2636</v>
      </c>
    </row>
    <row r="480" spans="1:1">
      <c r="A480" s="63">
        <v>2637</v>
      </c>
    </row>
    <row r="481" spans="1:1">
      <c r="A481" s="63">
        <v>2640</v>
      </c>
    </row>
    <row r="482" spans="1:1">
      <c r="A482" s="63">
        <v>2641</v>
      </c>
    </row>
    <row r="483" spans="1:1">
      <c r="A483" s="63">
        <v>2642</v>
      </c>
    </row>
    <row r="484" spans="1:1">
      <c r="A484" s="63">
        <v>2701</v>
      </c>
    </row>
    <row r="485" spans="1:1">
      <c r="A485" s="63">
        <v>2702</v>
      </c>
    </row>
    <row r="486" spans="1:1">
      <c r="A486" s="63">
        <v>2704</v>
      </c>
    </row>
    <row r="487" spans="1:1">
      <c r="A487" s="63">
        <v>2705</v>
      </c>
    </row>
    <row r="488" spans="1:1">
      <c r="A488" s="63">
        <v>2706</v>
      </c>
    </row>
    <row r="489" spans="1:1">
      <c r="A489" s="63">
        <v>2707</v>
      </c>
    </row>
    <row r="490" spans="1:1">
      <c r="A490" s="63">
        <v>2712</v>
      </c>
    </row>
    <row r="491" spans="1:1">
      <c r="A491" s="63">
        <v>2718</v>
      </c>
    </row>
    <row r="492" spans="1:1">
      <c r="A492" s="63">
        <v>2719</v>
      </c>
    </row>
    <row r="493" spans="1:1">
      <c r="A493" s="63">
        <v>2722</v>
      </c>
    </row>
    <row r="494" spans="1:1">
      <c r="A494" s="63">
        <v>2723</v>
      </c>
    </row>
    <row r="495" spans="1:1">
      <c r="A495" s="63">
        <v>2724</v>
      </c>
    </row>
    <row r="496" spans="1:1">
      <c r="A496" s="63">
        <v>2726</v>
      </c>
    </row>
    <row r="497" spans="1:1">
      <c r="A497" s="63">
        <v>2727</v>
      </c>
    </row>
    <row r="498" spans="1:1">
      <c r="A498" s="63">
        <v>2729</v>
      </c>
    </row>
    <row r="499" spans="1:1">
      <c r="A499" s="63">
        <v>2731</v>
      </c>
    </row>
    <row r="500" spans="1:1">
      <c r="A500" s="63">
        <v>2732</v>
      </c>
    </row>
    <row r="501" spans="1:1">
      <c r="A501" s="63">
        <v>2734</v>
      </c>
    </row>
    <row r="502" spans="1:1">
      <c r="A502" s="63">
        <v>2801</v>
      </c>
    </row>
    <row r="503" spans="1:1">
      <c r="A503" s="63">
        <v>2809</v>
      </c>
    </row>
    <row r="504" spans="1:1">
      <c r="A504" s="63">
        <v>2812</v>
      </c>
    </row>
    <row r="505" spans="1:1">
      <c r="A505" s="63">
        <v>2816</v>
      </c>
    </row>
    <row r="506" spans="1:1">
      <c r="A506" s="63">
        <v>2820</v>
      </c>
    </row>
    <row r="507" spans="1:1">
      <c r="A507" s="63">
        <v>2823</v>
      </c>
    </row>
    <row r="508" spans="1:1">
      <c r="A508" s="63">
        <v>2832</v>
      </c>
    </row>
    <row r="509" spans="1:1">
      <c r="A509" s="63">
        <v>2833</v>
      </c>
    </row>
    <row r="510" spans="1:1">
      <c r="A510" s="63">
        <v>2834</v>
      </c>
    </row>
    <row r="511" spans="1:1">
      <c r="A511" s="63">
        <v>2836</v>
      </c>
    </row>
    <row r="512" spans="1:1">
      <c r="A512" s="63">
        <v>2838</v>
      </c>
    </row>
    <row r="513" spans="1:1">
      <c r="A513" s="63">
        <v>2841</v>
      </c>
    </row>
    <row r="514" spans="1:1">
      <c r="A514" s="63">
        <v>2845</v>
      </c>
    </row>
    <row r="515" spans="1:1">
      <c r="A515" s="63">
        <v>2847</v>
      </c>
    </row>
    <row r="516" spans="1:1">
      <c r="A516" s="63">
        <v>2849</v>
      </c>
    </row>
    <row r="517" spans="1:1">
      <c r="A517" s="63">
        <v>2850</v>
      </c>
    </row>
    <row r="518" spans="1:1">
      <c r="A518" s="63">
        <v>2851</v>
      </c>
    </row>
    <row r="519" spans="1:1">
      <c r="A519" s="63">
        <v>2852</v>
      </c>
    </row>
    <row r="520" spans="1:1">
      <c r="A520" s="63">
        <v>2855</v>
      </c>
    </row>
    <row r="521" spans="1:1">
      <c r="A521" s="63">
        <v>2856</v>
      </c>
    </row>
    <row r="522" spans="1:1">
      <c r="A522" s="63">
        <v>2867</v>
      </c>
    </row>
    <row r="523" spans="1:1">
      <c r="A523" s="63">
        <v>2880</v>
      </c>
    </row>
    <row r="524" spans="1:1">
      <c r="A524" s="63">
        <v>2881</v>
      </c>
    </row>
    <row r="525" spans="1:1">
      <c r="A525" s="63">
        <v>2882</v>
      </c>
    </row>
    <row r="526" spans="1:1">
      <c r="A526" s="63">
        <v>2883</v>
      </c>
    </row>
    <row r="527" spans="1:1">
      <c r="A527" s="63">
        <v>2884</v>
      </c>
    </row>
    <row r="528" spans="1:1">
      <c r="A528" s="63">
        <v>2885</v>
      </c>
    </row>
    <row r="529" spans="1:1">
      <c r="A529" s="63">
        <v>2886</v>
      </c>
    </row>
    <row r="530" spans="1:1">
      <c r="A530" s="63">
        <v>2887</v>
      </c>
    </row>
    <row r="531" spans="1:1">
      <c r="A531" s="63">
        <v>2888</v>
      </c>
    </row>
    <row r="532" spans="1:1">
      <c r="A532" s="63">
        <v>2889</v>
      </c>
    </row>
    <row r="533" spans="1:1">
      <c r="A533" s="63">
        <v>2890</v>
      </c>
    </row>
    <row r="534" spans="1:1">
      <c r="A534" s="63">
        <v>2891</v>
      </c>
    </row>
    <row r="535" spans="1:1">
      <c r="A535" s="63">
        <v>2892</v>
      </c>
    </row>
    <row r="536" spans="1:1">
      <c r="A536" s="63">
        <v>2901</v>
      </c>
    </row>
    <row r="537" spans="1:1">
      <c r="A537" s="63">
        <v>2903</v>
      </c>
    </row>
    <row r="538" spans="1:1">
      <c r="A538" s="63">
        <v>2904</v>
      </c>
    </row>
    <row r="539" spans="1:1">
      <c r="A539" s="63">
        <v>2905</v>
      </c>
    </row>
    <row r="540" spans="1:1">
      <c r="A540" s="63">
        <v>2906</v>
      </c>
    </row>
    <row r="541" spans="1:1">
      <c r="A541" s="63">
        <v>2908</v>
      </c>
    </row>
    <row r="542" spans="1:1">
      <c r="A542" s="63">
        <v>2910</v>
      </c>
    </row>
    <row r="543" spans="1:1">
      <c r="A543" s="63">
        <v>2911</v>
      </c>
    </row>
    <row r="544" spans="1:1">
      <c r="A544" s="63">
        <v>2912</v>
      </c>
    </row>
    <row r="545" spans="1:1">
      <c r="A545" s="63">
        <v>2913</v>
      </c>
    </row>
    <row r="546" spans="1:1">
      <c r="A546" s="63">
        <v>2915</v>
      </c>
    </row>
    <row r="547" spans="1:1">
      <c r="A547" s="63">
        <v>2916</v>
      </c>
    </row>
    <row r="548" spans="1:1">
      <c r="A548" s="63">
        <v>2923</v>
      </c>
    </row>
    <row r="549" spans="1:1">
      <c r="A549" s="63">
        <v>2924</v>
      </c>
    </row>
    <row r="550" spans="1:1">
      <c r="A550" s="63">
        <v>2926</v>
      </c>
    </row>
    <row r="551" spans="1:1">
      <c r="A551" s="63">
        <v>2929</v>
      </c>
    </row>
    <row r="552" spans="1:1">
      <c r="A552" s="63">
        <v>3002</v>
      </c>
    </row>
    <row r="553" spans="1:1">
      <c r="A553" s="63">
        <v>3003</v>
      </c>
    </row>
    <row r="554" spans="1:1">
      <c r="A554" s="63">
        <v>3004</v>
      </c>
    </row>
    <row r="555" spans="1:1">
      <c r="A555" s="63">
        <v>3005</v>
      </c>
    </row>
    <row r="556" spans="1:1">
      <c r="A556" s="63">
        <v>3006</v>
      </c>
    </row>
    <row r="557" spans="1:1">
      <c r="A557" s="63">
        <v>3008</v>
      </c>
    </row>
    <row r="558" spans="1:1">
      <c r="A558" s="63">
        <v>3010</v>
      </c>
    </row>
    <row r="559" spans="1:1">
      <c r="A559" s="63">
        <v>3011</v>
      </c>
    </row>
    <row r="560" spans="1:1">
      <c r="A560" s="63">
        <v>3013</v>
      </c>
    </row>
    <row r="561" spans="1:1">
      <c r="A561" s="63">
        <v>3014</v>
      </c>
    </row>
    <row r="562" spans="1:1">
      <c r="A562" s="63">
        <v>3015</v>
      </c>
    </row>
    <row r="563" spans="1:1">
      <c r="A563" s="63">
        <v>3016</v>
      </c>
    </row>
    <row r="564" spans="1:1">
      <c r="A564" s="63">
        <v>3017</v>
      </c>
    </row>
    <row r="565" spans="1:1">
      <c r="A565" s="63">
        <v>3018</v>
      </c>
    </row>
    <row r="566" spans="1:1">
      <c r="A566" s="63">
        <v>3019</v>
      </c>
    </row>
    <row r="567" spans="1:1">
      <c r="A567" s="63">
        <v>3021</v>
      </c>
    </row>
    <row r="568" spans="1:1">
      <c r="A568" s="63">
        <v>3022</v>
      </c>
    </row>
    <row r="569" spans="1:1">
      <c r="A569" s="63">
        <v>3023</v>
      </c>
    </row>
    <row r="570" spans="1:1">
      <c r="A570" s="63">
        <v>3024</v>
      </c>
    </row>
    <row r="571" spans="1:1">
      <c r="A571" s="63">
        <v>3025</v>
      </c>
    </row>
    <row r="572" spans="1:1">
      <c r="A572" s="63">
        <v>3026</v>
      </c>
    </row>
    <row r="573" spans="1:1">
      <c r="A573" s="63">
        <v>3027</v>
      </c>
    </row>
    <row r="574" spans="1:1">
      <c r="A574" s="63">
        <v>3028</v>
      </c>
    </row>
    <row r="575" spans="1:1">
      <c r="A575" s="63">
        <v>3029</v>
      </c>
    </row>
    <row r="576" spans="1:1">
      <c r="A576" s="63">
        <v>3030</v>
      </c>
    </row>
    <row r="577" spans="1:1">
      <c r="A577" s="63">
        <v>3031</v>
      </c>
    </row>
    <row r="578" spans="1:1">
      <c r="A578" s="63">
        <v>3032</v>
      </c>
    </row>
    <row r="579" spans="1:1">
      <c r="A579" s="63">
        <v>3033</v>
      </c>
    </row>
    <row r="580" spans="1:1">
      <c r="A580" s="63">
        <v>3034</v>
      </c>
    </row>
    <row r="581" spans="1:1">
      <c r="A581" s="63">
        <v>3035</v>
      </c>
    </row>
    <row r="582" spans="1:1">
      <c r="A582" s="63">
        <v>3036</v>
      </c>
    </row>
    <row r="583" spans="1:1">
      <c r="A583" s="63">
        <v>3037</v>
      </c>
    </row>
    <row r="584" spans="1:1">
      <c r="A584" s="63">
        <v>3038</v>
      </c>
    </row>
    <row r="585" spans="1:1">
      <c r="A585" s="63">
        <v>3040</v>
      </c>
    </row>
    <row r="586" spans="1:1">
      <c r="A586" s="63">
        <v>3041</v>
      </c>
    </row>
    <row r="587" spans="1:1">
      <c r="A587" s="63">
        <v>3042</v>
      </c>
    </row>
    <row r="588" spans="1:1">
      <c r="A588" s="63">
        <v>3043</v>
      </c>
    </row>
    <row r="589" spans="1:1">
      <c r="A589" s="63">
        <v>3044</v>
      </c>
    </row>
    <row r="590" spans="1:1">
      <c r="A590" s="63">
        <v>3045</v>
      </c>
    </row>
    <row r="591" spans="1:1">
      <c r="A591" s="63">
        <v>3046</v>
      </c>
    </row>
    <row r="592" spans="1:1">
      <c r="A592" s="63">
        <v>3047</v>
      </c>
    </row>
    <row r="593" spans="1:1">
      <c r="A593" s="63">
        <v>3048</v>
      </c>
    </row>
    <row r="594" spans="1:1">
      <c r="A594" s="63">
        <v>3049</v>
      </c>
    </row>
    <row r="595" spans="1:1">
      <c r="A595" s="63">
        <v>3050</v>
      </c>
    </row>
    <row r="596" spans="1:1">
      <c r="A596" s="63">
        <v>3051</v>
      </c>
    </row>
    <row r="597" spans="1:1">
      <c r="A597" s="63">
        <v>3052</v>
      </c>
    </row>
    <row r="598" spans="1:1">
      <c r="A598" s="63">
        <v>3054</v>
      </c>
    </row>
    <row r="599" spans="1:1">
      <c r="A599" s="63">
        <v>3055</v>
      </c>
    </row>
    <row r="600" spans="1:1">
      <c r="A600" s="63">
        <v>3056</v>
      </c>
    </row>
    <row r="601" spans="1:1">
      <c r="A601" s="63">
        <v>3057</v>
      </c>
    </row>
    <row r="602" spans="1:1">
      <c r="A602" s="63">
        <v>3058</v>
      </c>
    </row>
    <row r="603" spans="1:1">
      <c r="A603" s="63">
        <v>3059</v>
      </c>
    </row>
    <row r="604" spans="1:1">
      <c r="A604" s="63">
        <v>3060</v>
      </c>
    </row>
    <row r="605" spans="1:1">
      <c r="A605" s="63">
        <v>3062</v>
      </c>
    </row>
    <row r="606" spans="1:1">
      <c r="A606" s="63">
        <v>3064</v>
      </c>
    </row>
    <row r="607" spans="1:1">
      <c r="A607" s="63">
        <v>3066</v>
      </c>
    </row>
    <row r="608" spans="1:1">
      <c r="A608" s="63">
        <v>3067</v>
      </c>
    </row>
    <row r="609" spans="1:1">
      <c r="A609" s="63">
        <v>3068</v>
      </c>
    </row>
    <row r="610" spans="1:1">
      <c r="A610" s="63">
        <v>3071</v>
      </c>
    </row>
    <row r="611" spans="1:1">
      <c r="A611" s="63">
        <v>3073</v>
      </c>
    </row>
    <row r="612" spans="1:1">
      <c r="A612" s="63">
        <v>3078</v>
      </c>
    </row>
    <row r="613" spans="1:1">
      <c r="A613" s="63">
        <v>3083</v>
      </c>
    </row>
    <row r="614" spans="1:1">
      <c r="A614" s="63">
        <v>3085</v>
      </c>
    </row>
    <row r="615" spans="1:1">
      <c r="A615" s="63">
        <v>3086</v>
      </c>
    </row>
    <row r="616" spans="1:1">
      <c r="A616" s="63">
        <v>3088</v>
      </c>
    </row>
    <row r="617" spans="1:1">
      <c r="A617" s="63">
        <v>3089</v>
      </c>
    </row>
    <row r="618" spans="1:1">
      <c r="A618" s="63">
        <v>3090</v>
      </c>
    </row>
    <row r="619" spans="1:1">
      <c r="A619" s="63">
        <v>3092</v>
      </c>
    </row>
    <row r="620" spans="1:1">
      <c r="A620" s="63">
        <v>3093</v>
      </c>
    </row>
    <row r="621" spans="1:1">
      <c r="A621" s="63">
        <v>3094</v>
      </c>
    </row>
    <row r="622" spans="1:1">
      <c r="A622" s="63">
        <v>3095</v>
      </c>
    </row>
    <row r="623" spans="1:1">
      <c r="A623" s="63">
        <v>3105</v>
      </c>
    </row>
    <row r="624" spans="1:1">
      <c r="A624" s="63">
        <v>3114</v>
      </c>
    </row>
    <row r="625" spans="1:1">
      <c r="A625" s="63">
        <v>3115</v>
      </c>
    </row>
    <row r="626" spans="1:1">
      <c r="A626" s="63">
        <v>3118</v>
      </c>
    </row>
    <row r="627" spans="1:1">
      <c r="A627" s="63">
        <v>3122</v>
      </c>
    </row>
    <row r="628" spans="1:1">
      <c r="A628" s="63">
        <v>3128</v>
      </c>
    </row>
    <row r="629" spans="1:1">
      <c r="A629" s="63">
        <v>3130</v>
      </c>
    </row>
    <row r="630" spans="1:1">
      <c r="A630" s="63">
        <v>3131</v>
      </c>
    </row>
    <row r="631" spans="1:1">
      <c r="A631" s="63">
        <v>3141</v>
      </c>
    </row>
    <row r="632" spans="1:1">
      <c r="A632" s="63">
        <v>3144</v>
      </c>
    </row>
    <row r="633" spans="1:1">
      <c r="A633" s="63">
        <v>3149</v>
      </c>
    </row>
    <row r="634" spans="1:1">
      <c r="A634" s="63">
        <v>3152</v>
      </c>
    </row>
    <row r="635" spans="1:1">
      <c r="A635" s="63">
        <v>3162</v>
      </c>
    </row>
    <row r="636" spans="1:1">
      <c r="A636" s="63">
        <v>3163</v>
      </c>
    </row>
    <row r="637" spans="1:1">
      <c r="A637" s="63">
        <v>3164</v>
      </c>
    </row>
    <row r="638" spans="1:1">
      <c r="A638" s="63">
        <v>3167</v>
      </c>
    </row>
    <row r="639" spans="1:1">
      <c r="A639" s="63">
        <v>3169</v>
      </c>
    </row>
    <row r="640" spans="1:1">
      <c r="A640" s="63">
        <v>3171</v>
      </c>
    </row>
    <row r="641" spans="1:1">
      <c r="A641" s="63">
        <v>3176</v>
      </c>
    </row>
    <row r="642" spans="1:1">
      <c r="A642" s="63">
        <v>3188</v>
      </c>
    </row>
    <row r="643" spans="1:1">
      <c r="A643" s="63">
        <v>3189</v>
      </c>
    </row>
    <row r="644" spans="1:1">
      <c r="A644" s="63">
        <v>3191</v>
      </c>
    </row>
    <row r="645" spans="1:1">
      <c r="A645" s="63">
        <v>3202</v>
      </c>
    </row>
    <row r="646" spans="1:1">
      <c r="A646" s="63">
        <v>3205</v>
      </c>
    </row>
    <row r="647" spans="1:1">
      <c r="A647" s="63">
        <v>3206</v>
      </c>
    </row>
    <row r="648" spans="1:1">
      <c r="A648" s="63">
        <v>3207</v>
      </c>
    </row>
    <row r="649" spans="1:1">
      <c r="A649" s="63">
        <v>3209</v>
      </c>
    </row>
    <row r="650" spans="1:1">
      <c r="A650" s="63">
        <v>3211</v>
      </c>
    </row>
    <row r="651" spans="1:1">
      <c r="A651" s="63">
        <v>3213</v>
      </c>
    </row>
    <row r="652" spans="1:1">
      <c r="A652" s="63">
        <v>3217</v>
      </c>
    </row>
    <row r="653" spans="1:1">
      <c r="A653" s="63">
        <v>3218</v>
      </c>
    </row>
    <row r="654" spans="1:1">
      <c r="A654" s="63">
        <v>3219</v>
      </c>
    </row>
    <row r="655" spans="1:1">
      <c r="A655" s="63">
        <v>3221</v>
      </c>
    </row>
    <row r="656" spans="1:1">
      <c r="A656" s="63">
        <v>3224</v>
      </c>
    </row>
    <row r="657" spans="1:1">
      <c r="A657" s="63">
        <v>3226</v>
      </c>
    </row>
    <row r="658" spans="1:1">
      <c r="A658" s="63">
        <v>3227</v>
      </c>
    </row>
    <row r="659" spans="1:1">
      <c r="A659" s="63">
        <v>3228</v>
      </c>
    </row>
    <row r="660" spans="1:1">
      <c r="A660" s="63">
        <v>3229</v>
      </c>
    </row>
    <row r="661" spans="1:1">
      <c r="A661" s="63">
        <v>3230</v>
      </c>
    </row>
    <row r="662" spans="1:1">
      <c r="A662" s="63">
        <v>3231</v>
      </c>
    </row>
    <row r="663" spans="1:1">
      <c r="A663" s="63">
        <v>3232</v>
      </c>
    </row>
    <row r="664" spans="1:1">
      <c r="A664" s="63">
        <v>3234</v>
      </c>
    </row>
    <row r="665" spans="1:1">
      <c r="A665" s="63">
        <v>3236</v>
      </c>
    </row>
    <row r="666" spans="1:1">
      <c r="A666" s="63">
        <v>3252</v>
      </c>
    </row>
    <row r="667" spans="1:1">
      <c r="A667" s="63">
        <v>3257</v>
      </c>
    </row>
    <row r="668" spans="1:1">
      <c r="A668" s="63">
        <v>3259</v>
      </c>
    </row>
    <row r="669" spans="1:1">
      <c r="A669" s="63">
        <v>3260</v>
      </c>
    </row>
    <row r="670" spans="1:1">
      <c r="A670" s="63">
        <v>3264</v>
      </c>
    </row>
    <row r="671" spans="1:1">
      <c r="A671" s="63">
        <v>3265</v>
      </c>
    </row>
    <row r="672" spans="1:1">
      <c r="A672" s="63">
        <v>3266</v>
      </c>
    </row>
    <row r="673" spans="1:1">
      <c r="A673" s="63">
        <v>3268</v>
      </c>
    </row>
    <row r="674" spans="1:1">
      <c r="A674" s="63">
        <v>3272</v>
      </c>
    </row>
    <row r="675" spans="1:1">
      <c r="A675" s="63">
        <v>3276</v>
      </c>
    </row>
    <row r="676" spans="1:1">
      <c r="A676" s="63">
        <v>3284</v>
      </c>
    </row>
    <row r="677" spans="1:1">
      <c r="A677" s="63">
        <v>3285</v>
      </c>
    </row>
    <row r="678" spans="1:1">
      <c r="A678" s="63">
        <v>3287</v>
      </c>
    </row>
    <row r="679" spans="1:1">
      <c r="A679" s="63">
        <v>3288</v>
      </c>
    </row>
    <row r="680" spans="1:1">
      <c r="A680" s="63">
        <v>3289</v>
      </c>
    </row>
    <row r="681" spans="1:1">
      <c r="A681" s="63">
        <v>3290</v>
      </c>
    </row>
    <row r="682" spans="1:1">
      <c r="A682" s="63">
        <v>3291</v>
      </c>
    </row>
    <row r="683" spans="1:1">
      <c r="A683" s="63">
        <v>3293</v>
      </c>
    </row>
    <row r="684" spans="1:1">
      <c r="A684" s="63">
        <v>3294</v>
      </c>
    </row>
    <row r="685" spans="1:1">
      <c r="A685" s="63">
        <v>3296</v>
      </c>
    </row>
    <row r="686" spans="1:1">
      <c r="A686" s="63">
        <v>3297</v>
      </c>
    </row>
    <row r="687" spans="1:1">
      <c r="A687" s="63">
        <v>3299</v>
      </c>
    </row>
    <row r="688" spans="1:1">
      <c r="A688" s="63">
        <v>3303</v>
      </c>
    </row>
    <row r="689" spans="1:1">
      <c r="A689" s="63">
        <v>3305</v>
      </c>
    </row>
    <row r="690" spans="1:1">
      <c r="A690" s="63">
        <v>3306</v>
      </c>
    </row>
    <row r="691" spans="1:1">
      <c r="A691" s="63">
        <v>3308</v>
      </c>
    </row>
    <row r="692" spans="1:1">
      <c r="A692" s="63">
        <v>3310</v>
      </c>
    </row>
    <row r="693" spans="1:1">
      <c r="A693" s="63">
        <v>3311</v>
      </c>
    </row>
    <row r="694" spans="1:1">
      <c r="A694" s="63">
        <v>3312</v>
      </c>
    </row>
    <row r="695" spans="1:1">
      <c r="A695" s="63">
        <v>3313</v>
      </c>
    </row>
    <row r="696" spans="1:1">
      <c r="A696" s="63">
        <v>3315</v>
      </c>
    </row>
    <row r="697" spans="1:1">
      <c r="A697" s="63">
        <v>3317</v>
      </c>
    </row>
    <row r="698" spans="1:1">
      <c r="A698" s="63">
        <v>3322</v>
      </c>
    </row>
    <row r="699" spans="1:1">
      <c r="A699" s="63">
        <v>3323</v>
      </c>
    </row>
    <row r="700" spans="1:1">
      <c r="A700" s="63">
        <v>3324</v>
      </c>
    </row>
    <row r="701" spans="1:1">
      <c r="A701" s="63">
        <v>3325</v>
      </c>
    </row>
    <row r="702" spans="1:1">
      <c r="A702" s="63">
        <v>3332</v>
      </c>
    </row>
    <row r="703" spans="1:1">
      <c r="A703" s="63">
        <v>3338</v>
      </c>
    </row>
    <row r="704" spans="1:1">
      <c r="A704" s="63">
        <v>3339</v>
      </c>
    </row>
    <row r="705" spans="1:1">
      <c r="A705" s="63">
        <v>3354</v>
      </c>
    </row>
    <row r="706" spans="1:1">
      <c r="A706" s="63">
        <v>3356</v>
      </c>
    </row>
    <row r="707" spans="1:1">
      <c r="A707" s="63">
        <v>3360</v>
      </c>
    </row>
    <row r="708" spans="1:1">
      <c r="A708" s="63">
        <v>3362</v>
      </c>
    </row>
    <row r="709" spans="1:1">
      <c r="A709" s="63">
        <v>3363</v>
      </c>
    </row>
    <row r="710" spans="1:1">
      <c r="A710" s="63">
        <v>3372</v>
      </c>
    </row>
    <row r="711" spans="1:1">
      <c r="A711" s="63">
        <v>3373</v>
      </c>
    </row>
    <row r="712" spans="1:1">
      <c r="A712" s="63">
        <v>3374</v>
      </c>
    </row>
    <row r="713" spans="1:1">
      <c r="A713" s="63">
        <v>3376</v>
      </c>
    </row>
    <row r="714" spans="1:1">
      <c r="A714" s="63">
        <v>3379</v>
      </c>
    </row>
    <row r="715" spans="1:1">
      <c r="A715" s="63">
        <v>3380</v>
      </c>
    </row>
    <row r="716" spans="1:1">
      <c r="A716" s="63">
        <v>3383</v>
      </c>
    </row>
    <row r="717" spans="1:1">
      <c r="A717" s="63">
        <v>3388</v>
      </c>
    </row>
    <row r="718" spans="1:1">
      <c r="A718" s="63">
        <v>3390</v>
      </c>
    </row>
    <row r="719" spans="1:1">
      <c r="A719" s="63">
        <v>3402</v>
      </c>
    </row>
    <row r="720" spans="1:1">
      <c r="A720" s="63">
        <v>3406</v>
      </c>
    </row>
    <row r="721" spans="1:1">
      <c r="A721" s="63">
        <v>3416</v>
      </c>
    </row>
    <row r="722" spans="1:1">
      <c r="A722" s="63">
        <v>3419</v>
      </c>
    </row>
    <row r="723" spans="1:1">
      <c r="A723" s="63">
        <v>3428</v>
      </c>
    </row>
    <row r="724" spans="1:1">
      <c r="A724" s="63">
        <v>3431</v>
      </c>
    </row>
    <row r="725" spans="1:1">
      <c r="A725" s="63">
        <v>3432</v>
      </c>
    </row>
    <row r="726" spans="1:1">
      <c r="A726" s="63">
        <v>3434</v>
      </c>
    </row>
    <row r="727" spans="1:1">
      <c r="A727" s="63">
        <v>3437</v>
      </c>
    </row>
    <row r="728" spans="1:1">
      <c r="A728" s="63">
        <v>3438</v>
      </c>
    </row>
    <row r="729" spans="1:1">
      <c r="A729" s="63">
        <v>3441</v>
      </c>
    </row>
    <row r="730" spans="1:1">
      <c r="A730" s="63">
        <v>3443</v>
      </c>
    </row>
    <row r="731" spans="1:1">
      <c r="A731" s="63">
        <v>3444</v>
      </c>
    </row>
    <row r="732" spans="1:1">
      <c r="A732" s="63">
        <v>3450</v>
      </c>
    </row>
    <row r="733" spans="1:1">
      <c r="A733" s="63">
        <v>3452</v>
      </c>
    </row>
    <row r="734" spans="1:1">
      <c r="A734" s="63">
        <v>3454</v>
      </c>
    </row>
    <row r="735" spans="1:1">
      <c r="A735" s="63">
        <v>3455</v>
      </c>
    </row>
    <row r="736" spans="1:1">
      <c r="A736" s="63">
        <v>3465</v>
      </c>
    </row>
    <row r="737" spans="1:1">
      <c r="A737" s="63">
        <v>3466</v>
      </c>
    </row>
    <row r="738" spans="1:1">
      <c r="A738" s="63">
        <v>3474</v>
      </c>
    </row>
    <row r="739" spans="1:1">
      <c r="A739" s="63">
        <v>3479</v>
      </c>
    </row>
    <row r="740" spans="1:1">
      <c r="A740" s="63">
        <v>3481</v>
      </c>
    </row>
    <row r="741" spans="1:1">
      <c r="A741" s="63">
        <v>3483</v>
      </c>
    </row>
    <row r="742" spans="1:1">
      <c r="A742" s="63">
        <v>3484</v>
      </c>
    </row>
    <row r="743" spans="1:1">
      <c r="A743" s="63">
        <v>3489</v>
      </c>
    </row>
    <row r="744" spans="1:1">
      <c r="A744" s="63">
        <v>3490</v>
      </c>
    </row>
    <row r="745" spans="1:1">
      <c r="A745" s="63">
        <v>3491</v>
      </c>
    </row>
    <row r="746" spans="1:1">
      <c r="A746" s="63">
        <v>3494</v>
      </c>
    </row>
    <row r="747" spans="1:1">
      <c r="A747" s="63">
        <v>3498</v>
      </c>
    </row>
    <row r="748" spans="1:1">
      <c r="A748" s="63">
        <v>3499</v>
      </c>
    </row>
    <row r="749" spans="1:1">
      <c r="A749" s="63">
        <v>3501</v>
      </c>
    </row>
    <row r="750" spans="1:1">
      <c r="A750" s="63">
        <v>3504</v>
      </c>
    </row>
    <row r="751" spans="1:1">
      <c r="A751" s="63">
        <v>3508</v>
      </c>
    </row>
    <row r="752" spans="1:1">
      <c r="A752" s="63">
        <v>3511</v>
      </c>
    </row>
    <row r="753" spans="1:1">
      <c r="A753" s="63">
        <v>3512</v>
      </c>
    </row>
    <row r="754" spans="1:1">
      <c r="A754" s="63">
        <v>3514</v>
      </c>
    </row>
    <row r="755" spans="1:1">
      <c r="A755" s="63">
        <v>3515</v>
      </c>
    </row>
    <row r="756" spans="1:1">
      <c r="A756" s="63">
        <v>3516</v>
      </c>
    </row>
    <row r="757" spans="1:1">
      <c r="A757" s="63">
        <v>3518</v>
      </c>
    </row>
    <row r="758" spans="1:1">
      <c r="A758" s="63">
        <v>3519</v>
      </c>
    </row>
    <row r="759" spans="1:1">
      <c r="A759" s="63">
        <v>3520</v>
      </c>
    </row>
    <row r="760" spans="1:1">
      <c r="A760" s="63">
        <v>3521</v>
      </c>
    </row>
    <row r="761" spans="1:1">
      <c r="A761" s="63">
        <v>3522</v>
      </c>
    </row>
    <row r="762" spans="1:1">
      <c r="A762" s="63">
        <v>3523</v>
      </c>
    </row>
    <row r="763" spans="1:1">
      <c r="A763" s="63">
        <v>3526</v>
      </c>
    </row>
    <row r="764" spans="1:1">
      <c r="A764" s="63">
        <v>3527</v>
      </c>
    </row>
    <row r="765" spans="1:1">
      <c r="A765" s="63">
        <v>3528</v>
      </c>
    </row>
    <row r="766" spans="1:1">
      <c r="A766" s="63">
        <v>3529</v>
      </c>
    </row>
    <row r="767" spans="1:1">
      <c r="A767" s="63">
        <v>3531</v>
      </c>
    </row>
    <row r="768" spans="1:1">
      <c r="A768" s="63">
        <v>3532</v>
      </c>
    </row>
    <row r="769" spans="1:1">
      <c r="A769" s="63">
        <v>3533</v>
      </c>
    </row>
    <row r="770" spans="1:1">
      <c r="A770" s="63">
        <v>3535</v>
      </c>
    </row>
    <row r="771" spans="1:1">
      <c r="A771" s="63">
        <v>3536</v>
      </c>
    </row>
    <row r="772" spans="1:1">
      <c r="A772" s="63">
        <v>3537</v>
      </c>
    </row>
    <row r="773" spans="1:1">
      <c r="A773" s="63">
        <v>3540</v>
      </c>
    </row>
    <row r="774" spans="1:1">
      <c r="A774" s="63">
        <v>3541</v>
      </c>
    </row>
    <row r="775" spans="1:1">
      <c r="A775" s="63">
        <v>3545</v>
      </c>
    </row>
    <row r="776" spans="1:1">
      <c r="A776" s="63">
        <v>3546</v>
      </c>
    </row>
    <row r="777" spans="1:1">
      <c r="A777" s="63">
        <v>3548</v>
      </c>
    </row>
    <row r="778" spans="1:1">
      <c r="A778" s="63">
        <v>3550</v>
      </c>
    </row>
    <row r="779" spans="1:1">
      <c r="A779" s="63">
        <v>3551</v>
      </c>
    </row>
    <row r="780" spans="1:1">
      <c r="A780" s="63">
        <v>3552</v>
      </c>
    </row>
    <row r="781" spans="1:1">
      <c r="A781" s="63">
        <v>3553</v>
      </c>
    </row>
    <row r="782" spans="1:1">
      <c r="A782" s="63">
        <v>3555</v>
      </c>
    </row>
    <row r="783" spans="1:1">
      <c r="A783" s="63">
        <v>3556</v>
      </c>
    </row>
    <row r="784" spans="1:1">
      <c r="A784" s="63">
        <v>3557</v>
      </c>
    </row>
    <row r="785" spans="1:1">
      <c r="A785" s="63">
        <v>3558</v>
      </c>
    </row>
    <row r="786" spans="1:1">
      <c r="A786" s="63">
        <v>3559</v>
      </c>
    </row>
    <row r="787" spans="1:1">
      <c r="A787" s="63">
        <v>3561</v>
      </c>
    </row>
    <row r="788" spans="1:1">
      <c r="A788" s="63">
        <v>3562</v>
      </c>
    </row>
    <row r="789" spans="1:1">
      <c r="A789" s="63">
        <v>3563</v>
      </c>
    </row>
    <row r="790" spans="1:1">
      <c r="A790" s="63">
        <v>3564</v>
      </c>
    </row>
    <row r="791" spans="1:1">
      <c r="A791" s="63">
        <v>3567</v>
      </c>
    </row>
    <row r="792" spans="1:1">
      <c r="A792" s="63">
        <v>3570</v>
      </c>
    </row>
    <row r="793" spans="1:1">
      <c r="A793" s="63">
        <v>3573</v>
      </c>
    </row>
    <row r="794" spans="1:1">
      <c r="A794" s="63">
        <v>3576</v>
      </c>
    </row>
    <row r="795" spans="1:1">
      <c r="A795" s="63">
        <v>3577</v>
      </c>
    </row>
    <row r="796" spans="1:1">
      <c r="A796" s="63">
        <v>3579</v>
      </c>
    </row>
    <row r="797" spans="1:1">
      <c r="A797" s="63">
        <v>3580</v>
      </c>
    </row>
    <row r="798" spans="1:1">
      <c r="A798" s="63">
        <v>3581</v>
      </c>
    </row>
    <row r="799" spans="1:1">
      <c r="A799" s="63">
        <v>3583</v>
      </c>
    </row>
    <row r="800" spans="1:1">
      <c r="A800" s="63">
        <v>3584</v>
      </c>
    </row>
    <row r="801" spans="1:1">
      <c r="A801" s="63">
        <v>3587</v>
      </c>
    </row>
    <row r="802" spans="1:1">
      <c r="A802" s="63">
        <v>3588</v>
      </c>
    </row>
    <row r="803" spans="1:1">
      <c r="A803" s="63">
        <v>3591</v>
      </c>
    </row>
    <row r="804" spans="1:1">
      <c r="A804" s="63">
        <v>3593</v>
      </c>
    </row>
    <row r="805" spans="1:1">
      <c r="A805" s="63">
        <v>3594</v>
      </c>
    </row>
    <row r="806" spans="1:1">
      <c r="A806" s="63">
        <v>3596</v>
      </c>
    </row>
    <row r="807" spans="1:1">
      <c r="A807" s="63">
        <v>3598</v>
      </c>
    </row>
    <row r="808" spans="1:1">
      <c r="A808" s="63">
        <v>3605</v>
      </c>
    </row>
    <row r="809" spans="1:1">
      <c r="A809" s="63">
        <v>3607</v>
      </c>
    </row>
    <row r="810" spans="1:1">
      <c r="A810" s="63">
        <v>3609</v>
      </c>
    </row>
    <row r="811" spans="1:1">
      <c r="A811" s="63">
        <v>3611</v>
      </c>
    </row>
    <row r="812" spans="1:1">
      <c r="A812" s="63">
        <v>3615</v>
      </c>
    </row>
    <row r="813" spans="1:1">
      <c r="A813" s="63">
        <v>3617</v>
      </c>
    </row>
    <row r="814" spans="1:1">
      <c r="A814" s="63">
        <v>3622</v>
      </c>
    </row>
    <row r="815" spans="1:1">
      <c r="A815" s="63">
        <v>3623</v>
      </c>
    </row>
    <row r="816" spans="1:1">
      <c r="A816" s="63">
        <v>3624</v>
      </c>
    </row>
    <row r="817" spans="1:1">
      <c r="A817" s="63">
        <v>3625</v>
      </c>
    </row>
    <row r="818" spans="1:1">
      <c r="A818" s="63">
        <v>3628</v>
      </c>
    </row>
    <row r="819" spans="1:1">
      <c r="A819" s="63">
        <v>3629</v>
      </c>
    </row>
    <row r="820" spans="1:1">
      <c r="A820" s="63">
        <v>3630</v>
      </c>
    </row>
    <row r="821" spans="1:1">
      <c r="A821" s="63">
        <v>3631</v>
      </c>
    </row>
    <row r="822" spans="1:1">
      <c r="A822" s="63">
        <v>3632</v>
      </c>
    </row>
    <row r="823" spans="1:1">
      <c r="A823" s="63">
        <v>3642</v>
      </c>
    </row>
    <row r="824" spans="1:1">
      <c r="A824" s="63">
        <v>3645</v>
      </c>
    </row>
    <row r="825" spans="1:1">
      <c r="A825" s="63">
        <v>3646</v>
      </c>
    </row>
    <row r="826" spans="1:1">
      <c r="A826" s="63">
        <v>3652</v>
      </c>
    </row>
    <row r="827" spans="1:1">
      <c r="A827" s="63">
        <v>3653</v>
      </c>
    </row>
    <row r="828" spans="1:1">
      <c r="A828" s="63">
        <v>3658</v>
      </c>
    </row>
    <row r="829" spans="1:1">
      <c r="A829" s="63">
        <v>3661</v>
      </c>
    </row>
    <row r="830" spans="1:1">
      <c r="A830" s="63">
        <v>3662</v>
      </c>
    </row>
    <row r="831" spans="1:1">
      <c r="A831" s="63">
        <v>3663</v>
      </c>
    </row>
    <row r="832" spans="1:1">
      <c r="A832" s="63">
        <v>3664</v>
      </c>
    </row>
    <row r="833" spans="1:1">
      <c r="A833" s="63">
        <v>3665</v>
      </c>
    </row>
    <row r="834" spans="1:1">
      <c r="A834" s="63">
        <v>3666</v>
      </c>
    </row>
    <row r="835" spans="1:1">
      <c r="A835" s="63">
        <v>3669</v>
      </c>
    </row>
    <row r="836" spans="1:1">
      <c r="A836" s="63">
        <v>3672</v>
      </c>
    </row>
    <row r="837" spans="1:1">
      <c r="A837" s="63">
        <v>3673</v>
      </c>
    </row>
    <row r="838" spans="1:1">
      <c r="A838" s="63">
        <v>3675</v>
      </c>
    </row>
    <row r="839" spans="1:1">
      <c r="A839" s="63">
        <v>3679</v>
      </c>
    </row>
    <row r="840" spans="1:1">
      <c r="A840" s="63">
        <v>3680</v>
      </c>
    </row>
    <row r="841" spans="1:1">
      <c r="A841" s="63">
        <v>3682</v>
      </c>
    </row>
    <row r="842" spans="1:1">
      <c r="A842" s="63">
        <v>3684</v>
      </c>
    </row>
    <row r="843" spans="1:1">
      <c r="A843" s="63">
        <v>3685</v>
      </c>
    </row>
    <row r="844" spans="1:1">
      <c r="A844" s="63">
        <v>3686</v>
      </c>
    </row>
    <row r="845" spans="1:1">
      <c r="A845" s="63">
        <v>3687</v>
      </c>
    </row>
    <row r="846" spans="1:1">
      <c r="A846" s="63">
        <v>3689</v>
      </c>
    </row>
    <row r="847" spans="1:1">
      <c r="A847" s="63">
        <v>3691</v>
      </c>
    </row>
    <row r="848" spans="1:1">
      <c r="A848" s="63">
        <v>3693</v>
      </c>
    </row>
    <row r="849" spans="1:1">
      <c r="A849" s="63">
        <v>3694</v>
      </c>
    </row>
    <row r="850" spans="1:1">
      <c r="A850" s="63">
        <v>3698</v>
      </c>
    </row>
    <row r="851" spans="1:1">
      <c r="A851" s="63">
        <v>3701</v>
      </c>
    </row>
    <row r="852" spans="1:1">
      <c r="A852" s="63">
        <v>3702</v>
      </c>
    </row>
    <row r="853" spans="1:1">
      <c r="A853" s="63">
        <v>3703</v>
      </c>
    </row>
    <row r="854" spans="1:1">
      <c r="A854" s="63">
        <v>3704</v>
      </c>
    </row>
    <row r="855" spans="1:1">
      <c r="A855" s="63">
        <v>3705</v>
      </c>
    </row>
    <row r="856" spans="1:1">
      <c r="A856" s="63">
        <v>3706</v>
      </c>
    </row>
    <row r="857" spans="1:1">
      <c r="A857" s="63">
        <v>3707</v>
      </c>
    </row>
    <row r="858" spans="1:1">
      <c r="A858" s="63">
        <v>4102</v>
      </c>
    </row>
    <row r="859" spans="1:1">
      <c r="A859" s="63">
        <v>4103</v>
      </c>
    </row>
    <row r="860" spans="1:1">
      <c r="A860" s="63">
        <v>4104</v>
      </c>
    </row>
    <row r="861" spans="1:1">
      <c r="A861" s="63">
        <v>4105</v>
      </c>
    </row>
    <row r="862" spans="1:1">
      <c r="A862" s="63">
        <v>4106</v>
      </c>
    </row>
    <row r="863" spans="1:1">
      <c r="A863" s="63">
        <v>4107</v>
      </c>
    </row>
    <row r="864" spans="1:1">
      <c r="A864" s="63">
        <v>4108</v>
      </c>
    </row>
    <row r="865" spans="1:1">
      <c r="A865" s="63">
        <v>4109</v>
      </c>
    </row>
    <row r="866" spans="1:1">
      <c r="A866" s="63">
        <v>4111</v>
      </c>
    </row>
    <row r="867" spans="1:1">
      <c r="A867" s="63">
        <v>4113</v>
      </c>
    </row>
    <row r="868" spans="1:1">
      <c r="A868" s="63">
        <v>4114</v>
      </c>
    </row>
    <row r="869" spans="1:1">
      <c r="A869" s="63">
        <v>4119</v>
      </c>
    </row>
    <row r="870" spans="1:1">
      <c r="A870" s="63">
        <v>4120</v>
      </c>
    </row>
    <row r="871" spans="1:1">
      <c r="A871" s="63">
        <v>4121</v>
      </c>
    </row>
    <row r="872" spans="1:1">
      <c r="A872" s="63">
        <v>4123</v>
      </c>
    </row>
    <row r="873" spans="1:1">
      <c r="A873" s="63">
        <v>4126</v>
      </c>
    </row>
    <row r="874" spans="1:1">
      <c r="A874" s="63">
        <v>4127</v>
      </c>
    </row>
    <row r="875" spans="1:1">
      <c r="A875" s="63">
        <v>4128</v>
      </c>
    </row>
    <row r="876" spans="1:1">
      <c r="A876" s="63">
        <v>4129</v>
      </c>
    </row>
    <row r="877" spans="1:1">
      <c r="A877" s="63">
        <v>4130</v>
      </c>
    </row>
    <row r="878" spans="1:1">
      <c r="A878" s="63">
        <v>4131</v>
      </c>
    </row>
    <row r="879" spans="1:1">
      <c r="A879" s="63">
        <v>4133</v>
      </c>
    </row>
    <row r="880" spans="1:1">
      <c r="A880" s="63">
        <v>4137</v>
      </c>
    </row>
    <row r="881" spans="1:1">
      <c r="A881" s="63">
        <v>4138</v>
      </c>
    </row>
    <row r="882" spans="1:1">
      <c r="A882" s="63">
        <v>4139</v>
      </c>
    </row>
    <row r="883" spans="1:1">
      <c r="A883" s="63">
        <v>4141</v>
      </c>
    </row>
    <row r="884" spans="1:1">
      <c r="A884" s="63">
        <v>4142</v>
      </c>
    </row>
    <row r="885" spans="1:1">
      <c r="A885" s="63">
        <v>4144</v>
      </c>
    </row>
    <row r="886" spans="1:1">
      <c r="A886" s="63">
        <v>4152</v>
      </c>
    </row>
    <row r="887" spans="1:1">
      <c r="A887" s="63">
        <v>4153</v>
      </c>
    </row>
    <row r="888" spans="1:1">
      <c r="A888" s="63">
        <v>4154</v>
      </c>
    </row>
    <row r="889" spans="1:1">
      <c r="A889" s="63">
        <v>4157</v>
      </c>
    </row>
    <row r="890" spans="1:1">
      <c r="A890" s="63">
        <v>4160</v>
      </c>
    </row>
    <row r="891" spans="1:1">
      <c r="A891" s="63">
        <v>4161</v>
      </c>
    </row>
    <row r="892" spans="1:1">
      <c r="A892" s="63">
        <v>4162</v>
      </c>
    </row>
    <row r="893" spans="1:1">
      <c r="A893" s="63">
        <v>4163</v>
      </c>
    </row>
    <row r="894" spans="1:1">
      <c r="A894" s="63">
        <v>4164</v>
      </c>
    </row>
    <row r="895" spans="1:1">
      <c r="A895" s="63">
        <v>4168</v>
      </c>
    </row>
    <row r="896" spans="1:1">
      <c r="A896" s="63">
        <v>4171</v>
      </c>
    </row>
    <row r="897" spans="1:1">
      <c r="A897" s="63">
        <v>4173</v>
      </c>
    </row>
    <row r="898" spans="1:1">
      <c r="A898" s="63">
        <v>4174</v>
      </c>
    </row>
    <row r="899" spans="1:1">
      <c r="A899" s="63">
        <v>4175</v>
      </c>
    </row>
    <row r="900" spans="1:1">
      <c r="A900" s="63">
        <v>4180</v>
      </c>
    </row>
    <row r="901" spans="1:1">
      <c r="A901" s="63">
        <v>4188</v>
      </c>
    </row>
    <row r="902" spans="1:1">
      <c r="A902" s="63">
        <v>4192</v>
      </c>
    </row>
    <row r="903" spans="1:1">
      <c r="A903" s="63">
        <v>4198</v>
      </c>
    </row>
    <row r="904" spans="1:1">
      <c r="A904" s="63">
        <v>4205</v>
      </c>
    </row>
    <row r="905" spans="1:1">
      <c r="A905" s="63">
        <v>4207</v>
      </c>
    </row>
    <row r="906" spans="1:1">
      <c r="A906" s="63">
        <v>4303</v>
      </c>
    </row>
    <row r="907" spans="1:1">
      <c r="A907" s="63">
        <v>4304</v>
      </c>
    </row>
    <row r="908" spans="1:1">
      <c r="A908" s="63">
        <v>4305</v>
      </c>
    </row>
    <row r="909" spans="1:1">
      <c r="A909" s="63">
        <v>4306</v>
      </c>
    </row>
    <row r="910" spans="1:1">
      <c r="A910" s="63">
        <v>4401</v>
      </c>
    </row>
    <row r="911" spans="1:1">
      <c r="A911" s="63">
        <v>4402</v>
      </c>
    </row>
    <row r="912" spans="1:1">
      <c r="A912" s="63">
        <v>4406</v>
      </c>
    </row>
    <row r="913" spans="1:1">
      <c r="A913" s="63">
        <v>4414</v>
      </c>
    </row>
    <row r="914" spans="1:1">
      <c r="A914" s="63">
        <v>4415</v>
      </c>
    </row>
    <row r="915" spans="1:1">
      <c r="A915" s="63">
        <v>4416</v>
      </c>
    </row>
    <row r="916" spans="1:1">
      <c r="A916" s="63">
        <v>4417</v>
      </c>
    </row>
    <row r="917" spans="1:1">
      <c r="A917" s="63">
        <v>4419</v>
      </c>
    </row>
    <row r="918" spans="1:1">
      <c r="A918" s="63">
        <v>4420</v>
      </c>
    </row>
    <row r="919" spans="1:1">
      <c r="A919" s="63">
        <v>4426</v>
      </c>
    </row>
    <row r="920" spans="1:1">
      <c r="A920" s="63">
        <v>4429</v>
      </c>
    </row>
    <row r="921" spans="1:1">
      <c r="A921" s="63">
        <v>4430</v>
      </c>
    </row>
    <row r="922" spans="1:1">
      <c r="A922" s="63">
        <v>4432</v>
      </c>
    </row>
    <row r="923" spans="1:1">
      <c r="A923" s="63">
        <v>4433</v>
      </c>
    </row>
    <row r="924" spans="1:1">
      <c r="A924" s="63">
        <v>4502</v>
      </c>
    </row>
    <row r="925" spans="1:1">
      <c r="A925" s="63">
        <v>4503</v>
      </c>
    </row>
    <row r="926" spans="1:1">
      <c r="A926" s="63">
        <v>4506</v>
      </c>
    </row>
    <row r="927" spans="1:1">
      <c r="A927" s="63">
        <v>4510</v>
      </c>
    </row>
    <row r="928" spans="1:1">
      <c r="A928" s="63">
        <v>4513</v>
      </c>
    </row>
    <row r="929" spans="1:1">
      <c r="A929" s="63">
        <v>4523</v>
      </c>
    </row>
    <row r="930" spans="1:1">
      <c r="A930" s="63">
        <v>4526</v>
      </c>
    </row>
    <row r="931" spans="1:1">
      <c r="A931" s="63">
        <v>4527</v>
      </c>
    </row>
    <row r="932" spans="1:1">
      <c r="A932" s="63">
        <v>4528</v>
      </c>
    </row>
    <row r="933" spans="1:1">
      <c r="A933" s="63">
        <v>4529</v>
      </c>
    </row>
    <row r="934" spans="1:1">
      <c r="A934" s="63">
        <v>4530</v>
      </c>
    </row>
    <row r="935" spans="1:1">
      <c r="A935" s="63">
        <v>4532</v>
      </c>
    </row>
    <row r="936" spans="1:1">
      <c r="A936" s="63">
        <v>4533</v>
      </c>
    </row>
    <row r="937" spans="1:1">
      <c r="A937" s="63">
        <v>4534</v>
      </c>
    </row>
    <row r="938" spans="1:1">
      <c r="A938" s="63">
        <v>4535</v>
      </c>
    </row>
    <row r="939" spans="1:1">
      <c r="A939" s="63">
        <v>4536</v>
      </c>
    </row>
    <row r="940" spans="1:1">
      <c r="A940" s="63">
        <v>4541</v>
      </c>
    </row>
    <row r="941" spans="1:1">
      <c r="A941" s="63">
        <v>4542</v>
      </c>
    </row>
    <row r="942" spans="1:1">
      <c r="A942" s="63">
        <v>4549</v>
      </c>
    </row>
    <row r="943" spans="1:1">
      <c r="A943" s="63">
        <v>4550</v>
      </c>
    </row>
    <row r="944" spans="1:1">
      <c r="A944" s="63">
        <v>4609</v>
      </c>
    </row>
    <row r="945" spans="1:1">
      <c r="A945" s="63">
        <v>4702</v>
      </c>
    </row>
    <row r="946" spans="1:1">
      <c r="A946" s="63">
        <v>4703</v>
      </c>
    </row>
    <row r="947" spans="1:1">
      <c r="A947" s="63">
        <v>4706</v>
      </c>
    </row>
    <row r="948" spans="1:1">
      <c r="A948" s="63">
        <v>4707</v>
      </c>
    </row>
    <row r="949" spans="1:1">
      <c r="A949" s="63">
        <v>4711</v>
      </c>
    </row>
    <row r="950" spans="1:1">
      <c r="A950" s="63">
        <v>4712</v>
      </c>
    </row>
    <row r="951" spans="1:1">
      <c r="A951" s="63">
        <v>4714</v>
      </c>
    </row>
    <row r="952" spans="1:1">
      <c r="A952" s="63">
        <v>4716</v>
      </c>
    </row>
    <row r="953" spans="1:1">
      <c r="A953" s="63">
        <v>4720</v>
      </c>
    </row>
    <row r="954" spans="1:1">
      <c r="A954" s="63">
        <v>4721</v>
      </c>
    </row>
    <row r="955" spans="1:1">
      <c r="A955" s="63">
        <v>4722</v>
      </c>
    </row>
    <row r="956" spans="1:1">
      <c r="A956" s="63">
        <v>4725</v>
      </c>
    </row>
    <row r="957" spans="1:1">
      <c r="A957" s="63">
        <v>4726</v>
      </c>
    </row>
    <row r="958" spans="1:1">
      <c r="A958" s="63">
        <v>4728</v>
      </c>
    </row>
    <row r="959" spans="1:1">
      <c r="A959" s="63">
        <v>4729</v>
      </c>
    </row>
    <row r="960" spans="1:1">
      <c r="A960" s="63">
        <v>4733</v>
      </c>
    </row>
    <row r="961" spans="1:1">
      <c r="A961" s="63">
        <v>4735</v>
      </c>
    </row>
    <row r="962" spans="1:1">
      <c r="A962" s="63">
        <v>4736</v>
      </c>
    </row>
    <row r="963" spans="1:1">
      <c r="A963" s="63">
        <v>4737</v>
      </c>
    </row>
    <row r="964" spans="1:1">
      <c r="A964" s="63">
        <v>4739</v>
      </c>
    </row>
    <row r="965" spans="1:1">
      <c r="A965" s="63">
        <v>4743</v>
      </c>
    </row>
    <row r="966" spans="1:1">
      <c r="A966" s="63">
        <v>4745</v>
      </c>
    </row>
    <row r="967" spans="1:1">
      <c r="A967" s="63">
        <v>4746</v>
      </c>
    </row>
    <row r="968" spans="1:1">
      <c r="A968" s="63">
        <v>4747</v>
      </c>
    </row>
    <row r="969" spans="1:1">
      <c r="A969" s="63">
        <v>4755</v>
      </c>
    </row>
    <row r="970" spans="1:1">
      <c r="A970" s="63">
        <v>4903</v>
      </c>
    </row>
    <row r="971" spans="1:1">
      <c r="A971" s="63">
        <v>4904</v>
      </c>
    </row>
    <row r="972" spans="1:1">
      <c r="A972" s="63">
        <v>4905</v>
      </c>
    </row>
    <row r="973" spans="1:1">
      <c r="A973" s="63">
        <v>4906</v>
      </c>
    </row>
    <row r="974" spans="1:1">
      <c r="A974" s="63">
        <v>4908</v>
      </c>
    </row>
    <row r="975" spans="1:1">
      <c r="A975" s="63">
        <v>4909</v>
      </c>
    </row>
    <row r="976" spans="1:1">
      <c r="A976" s="63">
        <v>4911</v>
      </c>
    </row>
    <row r="977" spans="1:1">
      <c r="A977" s="63">
        <v>4912</v>
      </c>
    </row>
    <row r="978" spans="1:1">
      <c r="A978" s="63">
        <v>4915</v>
      </c>
    </row>
    <row r="979" spans="1:1">
      <c r="A979" s="63">
        <v>4916</v>
      </c>
    </row>
    <row r="980" spans="1:1">
      <c r="A980" s="63">
        <v>4919</v>
      </c>
    </row>
    <row r="981" spans="1:1">
      <c r="A981" s="63">
        <v>4924</v>
      </c>
    </row>
    <row r="982" spans="1:1">
      <c r="A982" s="63">
        <v>4927</v>
      </c>
    </row>
    <row r="983" spans="1:1">
      <c r="A983" s="63">
        <v>4930</v>
      </c>
    </row>
    <row r="984" spans="1:1">
      <c r="A984" s="63">
        <v>4933</v>
      </c>
    </row>
    <row r="985" spans="1:1">
      <c r="A985" s="63">
        <v>4934</v>
      </c>
    </row>
    <row r="986" spans="1:1">
      <c r="A986" s="63">
        <v>4935</v>
      </c>
    </row>
    <row r="987" spans="1:1">
      <c r="A987" s="63">
        <v>4938</v>
      </c>
    </row>
    <row r="988" spans="1:1">
      <c r="A988" s="63">
        <v>4939</v>
      </c>
    </row>
    <row r="989" spans="1:1">
      <c r="A989" s="63">
        <v>4942</v>
      </c>
    </row>
    <row r="990" spans="1:1">
      <c r="A990" s="63">
        <v>4944</v>
      </c>
    </row>
    <row r="991" spans="1:1">
      <c r="A991" s="63">
        <v>4946</v>
      </c>
    </row>
    <row r="992" spans="1:1">
      <c r="A992" s="63">
        <v>4947</v>
      </c>
    </row>
    <row r="993" spans="1:1">
      <c r="A993" s="63">
        <v>4950</v>
      </c>
    </row>
    <row r="994" spans="1:1">
      <c r="A994" s="63">
        <v>4952</v>
      </c>
    </row>
    <row r="995" spans="1:1">
      <c r="A995" s="63">
        <v>4953</v>
      </c>
    </row>
    <row r="996" spans="1:1">
      <c r="A996" s="63">
        <v>4956</v>
      </c>
    </row>
    <row r="997" spans="1:1">
      <c r="A997" s="63">
        <v>4958</v>
      </c>
    </row>
    <row r="998" spans="1:1">
      <c r="A998" s="63">
        <v>4960</v>
      </c>
    </row>
    <row r="999" spans="1:1">
      <c r="A999" s="63">
        <v>4965</v>
      </c>
    </row>
    <row r="1000" spans="1:1">
      <c r="A1000" s="63">
        <v>4966</v>
      </c>
    </row>
    <row r="1001" spans="1:1">
      <c r="A1001" s="63">
        <v>4971</v>
      </c>
    </row>
    <row r="1002" spans="1:1">
      <c r="A1002" s="63">
        <v>4972</v>
      </c>
    </row>
    <row r="1003" spans="1:1">
      <c r="A1003" s="63">
        <v>4973</v>
      </c>
    </row>
    <row r="1004" spans="1:1">
      <c r="A1004" s="63">
        <v>4974</v>
      </c>
    </row>
    <row r="1005" spans="1:1">
      <c r="A1005" s="63">
        <v>4976</v>
      </c>
    </row>
    <row r="1006" spans="1:1">
      <c r="A1006" s="63">
        <v>4977</v>
      </c>
    </row>
    <row r="1007" spans="1:1">
      <c r="A1007" s="63">
        <v>4979</v>
      </c>
    </row>
    <row r="1008" spans="1:1">
      <c r="A1008" s="63">
        <v>4984</v>
      </c>
    </row>
    <row r="1009" spans="1:1">
      <c r="A1009" s="63">
        <v>4987</v>
      </c>
    </row>
    <row r="1010" spans="1:1">
      <c r="A1010" s="63">
        <v>4991</v>
      </c>
    </row>
    <row r="1011" spans="1:1">
      <c r="A1011" s="63">
        <v>4994</v>
      </c>
    </row>
    <row r="1012" spans="1:1">
      <c r="A1012" s="63">
        <v>4995</v>
      </c>
    </row>
    <row r="1013" spans="1:1">
      <c r="A1013" s="63">
        <v>4999</v>
      </c>
    </row>
    <row r="1014" spans="1:1">
      <c r="A1014" s="63">
        <v>5007</v>
      </c>
    </row>
    <row r="1015" spans="1:1">
      <c r="A1015" s="63">
        <v>5009</v>
      </c>
    </row>
    <row r="1016" spans="1:1">
      <c r="A1016" s="63">
        <v>5011</v>
      </c>
    </row>
    <row r="1017" spans="1:1">
      <c r="A1017" s="63">
        <v>5013</v>
      </c>
    </row>
    <row r="1018" spans="1:1">
      <c r="A1018" s="63">
        <v>5014</v>
      </c>
    </row>
    <row r="1019" spans="1:1">
      <c r="A1019" s="63">
        <v>5015</v>
      </c>
    </row>
    <row r="1020" spans="1:1">
      <c r="A1020" s="63">
        <v>5016</v>
      </c>
    </row>
    <row r="1021" spans="1:1">
      <c r="A1021" s="63">
        <v>5102</v>
      </c>
    </row>
    <row r="1022" spans="1:1">
      <c r="A1022" s="63">
        <v>5201</v>
      </c>
    </row>
    <row r="1023" spans="1:1">
      <c r="A1023" s="63">
        <v>5202</v>
      </c>
    </row>
    <row r="1024" spans="1:1">
      <c r="A1024" s="63">
        <v>5203</v>
      </c>
    </row>
    <row r="1025" spans="1:1">
      <c r="A1025" s="63">
        <v>5205</v>
      </c>
    </row>
    <row r="1026" spans="1:1">
      <c r="A1026" s="63">
        <v>5206</v>
      </c>
    </row>
    <row r="1027" spans="1:1">
      <c r="A1027" s="63">
        <v>5209</v>
      </c>
    </row>
    <row r="1028" spans="1:1">
      <c r="A1028" s="63">
        <v>5210</v>
      </c>
    </row>
    <row r="1029" spans="1:1">
      <c r="A1029" s="63">
        <v>5211</v>
      </c>
    </row>
    <row r="1030" spans="1:1">
      <c r="A1030" s="63">
        <v>5212</v>
      </c>
    </row>
    <row r="1031" spans="1:1">
      <c r="A1031" s="63">
        <v>5213</v>
      </c>
    </row>
    <row r="1032" spans="1:1">
      <c r="A1032" s="63">
        <v>5215</v>
      </c>
    </row>
    <row r="1033" spans="1:1">
      <c r="A1033" s="63">
        <v>5225</v>
      </c>
    </row>
    <row r="1034" spans="1:1">
      <c r="A1034" s="63">
        <v>5227</v>
      </c>
    </row>
    <row r="1035" spans="1:1">
      <c r="A1035" s="63">
        <v>5230</v>
      </c>
    </row>
    <row r="1036" spans="1:1">
      <c r="A1036" s="63">
        <v>5234</v>
      </c>
    </row>
    <row r="1037" spans="1:1">
      <c r="A1037" s="63">
        <v>5243</v>
      </c>
    </row>
    <row r="1038" spans="1:1">
      <c r="A1038" s="63">
        <v>5251</v>
      </c>
    </row>
    <row r="1039" spans="1:1">
      <c r="A1039" s="63">
        <v>5259</v>
      </c>
    </row>
    <row r="1040" spans="1:1">
      <c r="A1040" s="63">
        <v>5263</v>
      </c>
    </row>
    <row r="1041" spans="1:1">
      <c r="A1041" s="63">
        <v>5264</v>
      </c>
    </row>
    <row r="1042" spans="1:1">
      <c r="A1042" s="63">
        <v>5266</v>
      </c>
    </row>
    <row r="1043" spans="1:1">
      <c r="A1043" s="63">
        <v>5269</v>
      </c>
    </row>
    <row r="1044" spans="1:1">
      <c r="A1044" s="63">
        <v>5272</v>
      </c>
    </row>
    <row r="1045" spans="1:1">
      <c r="A1045" s="63">
        <v>5274</v>
      </c>
    </row>
    <row r="1046" spans="1:1">
      <c r="A1046" s="63">
        <v>5276</v>
      </c>
    </row>
    <row r="1047" spans="1:1">
      <c r="A1047" s="63">
        <v>5278</v>
      </c>
    </row>
    <row r="1048" spans="1:1">
      <c r="A1048" s="63">
        <v>5284</v>
      </c>
    </row>
    <row r="1049" spans="1:1">
      <c r="A1049" s="63">
        <v>5285</v>
      </c>
    </row>
    <row r="1050" spans="1:1">
      <c r="A1050" s="63">
        <v>5287</v>
      </c>
    </row>
    <row r="1051" spans="1:1">
      <c r="A1051" s="63">
        <v>5288</v>
      </c>
    </row>
    <row r="1052" spans="1:1">
      <c r="A1052" s="63">
        <v>5289</v>
      </c>
    </row>
    <row r="1053" spans="1:1">
      <c r="A1053" s="63">
        <v>5291</v>
      </c>
    </row>
    <row r="1054" spans="1:1">
      <c r="A1054" s="63">
        <v>5301</v>
      </c>
    </row>
    <row r="1055" spans="1:1">
      <c r="A1055" s="63">
        <v>5302</v>
      </c>
    </row>
    <row r="1056" spans="1:1">
      <c r="A1056" s="63">
        <v>5304</v>
      </c>
    </row>
    <row r="1057" spans="1:1">
      <c r="A1057" s="63">
        <v>5305</v>
      </c>
    </row>
    <row r="1058" spans="1:1">
      <c r="A1058" s="63">
        <v>5306</v>
      </c>
    </row>
    <row r="1059" spans="1:1">
      <c r="A1059" s="63">
        <v>5309</v>
      </c>
    </row>
    <row r="1060" spans="1:1">
      <c r="A1060" s="63">
        <v>5310</v>
      </c>
    </row>
    <row r="1061" spans="1:1">
      <c r="A1061" s="63">
        <v>5312</v>
      </c>
    </row>
    <row r="1062" spans="1:1">
      <c r="A1062" s="63">
        <v>5314</v>
      </c>
    </row>
    <row r="1063" spans="1:1">
      <c r="A1063" s="63">
        <v>5315</v>
      </c>
    </row>
    <row r="1064" spans="1:1">
      <c r="A1064" s="63">
        <v>5317</v>
      </c>
    </row>
    <row r="1065" spans="1:1">
      <c r="A1065" s="63">
        <v>5321</v>
      </c>
    </row>
    <row r="1066" spans="1:1">
      <c r="A1066" s="63">
        <v>5324</v>
      </c>
    </row>
    <row r="1067" spans="1:1">
      <c r="A1067" s="63">
        <v>5328</v>
      </c>
    </row>
    <row r="1068" spans="1:1">
      <c r="A1068" s="63">
        <v>5340</v>
      </c>
    </row>
    <row r="1069" spans="1:1">
      <c r="A1069" s="63">
        <v>5344</v>
      </c>
    </row>
    <row r="1070" spans="1:1">
      <c r="A1070" s="63">
        <v>5345</v>
      </c>
    </row>
    <row r="1071" spans="1:1">
      <c r="A1071" s="63">
        <v>5347</v>
      </c>
    </row>
    <row r="1072" spans="1:1">
      <c r="A1072" s="63">
        <v>5348</v>
      </c>
    </row>
    <row r="1073" spans="1:1">
      <c r="A1073" s="63">
        <v>5349</v>
      </c>
    </row>
    <row r="1074" spans="1:1">
      <c r="A1074" s="63">
        <v>5351</v>
      </c>
    </row>
    <row r="1075" spans="1:1">
      <c r="A1075" s="63">
        <v>5353</v>
      </c>
    </row>
    <row r="1076" spans="1:1">
      <c r="A1076" s="63">
        <v>5355</v>
      </c>
    </row>
    <row r="1077" spans="1:1">
      <c r="A1077" s="63">
        <v>5356</v>
      </c>
    </row>
    <row r="1078" spans="1:1">
      <c r="A1078" s="63">
        <v>5364</v>
      </c>
    </row>
    <row r="1079" spans="1:1">
      <c r="A1079" s="63">
        <v>5371</v>
      </c>
    </row>
    <row r="1080" spans="1:1">
      <c r="A1080" s="63">
        <v>5381</v>
      </c>
    </row>
    <row r="1081" spans="1:1">
      <c r="A1081" s="63">
        <v>5383</v>
      </c>
    </row>
    <row r="1082" spans="1:1">
      <c r="A1082" s="63">
        <v>5384</v>
      </c>
    </row>
    <row r="1083" spans="1:1">
      <c r="A1083" s="63">
        <v>5386</v>
      </c>
    </row>
    <row r="1084" spans="1:1">
      <c r="A1084" s="63">
        <v>5388</v>
      </c>
    </row>
    <row r="1085" spans="1:1">
      <c r="A1085" s="63">
        <v>5392</v>
      </c>
    </row>
    <row r="1086" spans="1:1">
      <c r="A1086" s="63">
        <v>5395</v>
      </c>
    </row>
    <row r="1087" spans="1:1">
      <c r="A1087" s="63">
        <v>5398</v>
      </c>
    </row>
    <row r="1088" spans="1:1">
      <c r="A1088" s="63">
        <v>5403</v>
      </c>
    </row>
    <row r="1089" spans="1:1">
      <c r="A1089" s="63">
        <v>5410</v>
      </c>
    </row>
    <row r="1090" spans="1:1">
      <c r="A1090" s="63">
        <v>5425</v>
      </c>
    </row>
    <row r="1091" spans="1:1">
      <c r="A1091" s="63">
        <v>5426</v>
      </c>
    </row>
    <row r="1092" spans="1:1">
      <c r="A1092" s="63">
        <v>5432</v>
      </c>
    </row>
    <row r="1093" spans="1:1">
      <c r="A1093" s="63">
        <v>5434</v>
      </c>
    </row>
    <row r="1094" spans="1:1">
      <c r="A1094" s="63">
        <v>5438</v>
      </c>
    </row>
    <row r="1095" spans="1:1">
      <c r="A1095" s="63">
        <v>5439</v>
      </c>
    </row>
    <row r="1096" spans="1:1">
      <c r="A1096" s="63">
        <v>5443</v>
      </c>
    </row>
    <row r="1097" spans="1:1">
      <c r="A1097" s="63">
        <v>5450</v>
      </c>
    </row>
    <row r="1098" spans="1:1">
      <c r="A1098" s="63">
        <v>5452</v>
      </c>
    </row>
    <row r="1099" spans="1:1">
      <c r="A1099" s="63">
        <v>5455</v>
      </c>
    </row>
    <row r="1100" spans="1:1">
      <c r="A1100" s="63">
        <v>5457</v>
      </c>
    </row>
    <row r="1101" spans="1:1">
      <c r="A1101" s="63">
        <v>5460</v>
      </c>
    </row>
    <row r="1102" spans="1:1">
      <c r="A1102" s="63">
        <v>5464</v>
      </c>
    </row>
    <row r="1103" spans="1:1">
      <c r="A1103" s="63">
        <v>5465</v>
      </c>
    </row>
    <row r="1104" spans="1:1">
      <c r="A1104" s="63">
        <v>5466</v>
      </c>
    </row>
    <row r="1105" spans="1:1">
      <c r="A1105" s="63">
        <v>5468</v>
      </c>
    </row>
    <row r="1106" spans="1:1">
      <c r="A1106" s="63">
        <v>5469</v>
      </c>
    </row>
    <row r="1107" spans="1:1">
      <c r="A1107" s="63">
        <v>5471</v>
      </c>
    </row>
    <row r="1108" spans="1:1">
      <c r="A1108" s="63">
        <v>5474</v>
      </c>
    </row>
    <row r="1109" spans="1:1">
      <c r="A1109" s="63">
        <v>5475</v>
      </c>
    </row>
    <row r="1110" spans="1:1">
      <c r="A1110" s="63">
        <v>5478</v>
      </c>
    </row>
    <row r="1111" spans="1:1">
      <c r="A1111" s="63">
        <v>5480</v>
      </c>
    </row>
    <row r="1112" spans="1:1">
      <c r="A1112" s="63">
        <v>5481</v>
      </c>
    </row>
    <row r="1113" spans="1:1">
      <c r="A1113" s="63">
        <v>5483</v>
      </c>
    </row>
    <row r="1114" spans="1:1">
      <c r="A1114" s="63">
        <v>5484</v>
      </c>
    </row>
    <row r="1115" spans="1:1">
      <c r="A1115" s="63">
        <v>5487</v>
      </c>
    </row>
    <row r="1116" spans="1:1">
      <c r="A1116" s="63">
        <v>5488</v>
      </c>
    </row>
    <row r="1117" spans="1:1">
      <c r="A1117" s="63">
        <v>5489</v>
      </c>
    </row>
    <row r="1118" spans="1:1">
      <c r="A1118" s="63">
        <v>5490</v>
      </c>
    </row>
    <row r="1119" spans="1:1">
      <c r="A1119" s="63">
        <v>5491</v>
      </c>
    </row>
    <row r="1120" spans="1:1">
      <c r="A1120" s="63">
        <v>5493</v>
      </c>
    </row>
    <row r="1121" spans="1:1">
      <c r="A1121" s="63">
        <v>5498</v>
      </c>
    </row>
    <row r="1122" spans="1:1">
      <c r="A1122" s="63">
        <v>5505</v>
      </c>
    </row>
    <row r="1123" spans="1:1">
      <c r="A1123" s="63">
        <v>5508</v>
      </c>
    </row>
    <row r="1124" spans="1:1">
      <c r="A1124" s="63">
        <v>5511</v>
      </c>
    </row>
    <row r="1125" spans="1:1">
      <c r="A1125" s="63">
        <v>5512</v>
      </c>
    </row>
    <row r="1126" spans="1:1">
      <c r="A1126" s="63">
        <v>5514</v>
      </c>
    </row>
    <row r="1127" spans="1:1">
      <c r="A1127" s="63">
        <v>5515</v>
      </c>
    </row>
    <row r="1128" spans="1:1">
      <c r="A1128" s="63">
        <v>5516</v>
      </c>
    </row>
    <row r="1129" spans="1:1">
      <c r="A1129" s="63">
        <v>5519</v>
      </c>
    </row>
    <row r="1130" spans="1:1">
      <c r="A1130" s="63">
        <v>5520</v>
      </c>
    </row>
    <row r="1131" spans="1:1">
      <c r="A1131" s="63">
        <v>5521</v>
      </c>
    </row>
    <row r="1132" spans="1:1">
      <c r="A1132" s="63">
        <v>5522</v>
      </c>
    </row>
    <row r="1133" spans="1:1">
      <c r="A1133" s="63">
        <v>5523</v>
      </c>
    </row>
    <row r="1134" spans="1:1">
      <c r="A1134" s="63">
        <v>5525</v>
      </c>
    </row>
    <row r="1135" spans="1:1">
      <c r="A1135" s="63">
        <v>5529</v>
      </c>
    </row>
    <row r="1136" spans="1:1">
      <c r="A1136" s="63">
        <v>5530</v>
      </c>
    </row>
    <row r="1137" spans="1:1">
      <c r="A1137" s="63">
        <v>5531</v>
      </c>
    </row>
    <row r="1138" spans="1:1">
      <c r="A1138" s="63">
        <v>5533</v>
      </c>
    </row>
    <row r="1139" spans="1:1">
      <c r="A1139" s="63">
        <v>5534</v>
      </c>
    </row>
    <row r="1140" spans="1:1">
      <c r="A1140" s="63">
        <v>5536</v>
      </c>
    </row>
    <row r="1141" spans="1:1">
      <c r="A1141" s="63">
        <v>5538</v>
      </c>
    </row>
    <row r="1142" spans="1:1">
      <c r="A1142" s="63">
        <v>5601</v>
      </c>
    </row>
    <row r="1143" spans="1:1">
      <c r="A1143" s="63">
        <v>5603</v>
      </c>
    </row>
    <row r="1144" spans="1:1">
      <c r="A1144" s="63">
        <v>5604</v>
      </c>
    </row>
    <row r="1145" spans="1:1">
      <c r="A1145" s="63">
        <v>5607</v>
      </c>
    </row>
    <row r="1146" spans="1:1">
      <c r="A1146" s="63">
        <v>5608</v>
      </c>
    </row>
    <row r="1147" spans="1:1">
      <c r="A1147" s="63">
        <v>5609</v>
      </c>
    </row>
    <row r="1148" spans="1:1">
      <c r="A1148" s="63">
        <v>5701</v>
      </c>
    </row>
    <row r="1149" spans="1:1">
      <c r="A1149" s="63">
        <v>5703</v>
      </c>
    </row>
    <row r="1150" spans="1:1">
      <c r="A1150" s="63">
        <v>5704</v>
      </c>
    </row>
    <row r="1151" spans="1:1">
      <c r="A1151" s="63">
        <v>5706</v>
      </c>
    </row>
    <row r="1152" spans="1:1">
      <c r="A1152" s="63">
        <v>5820</v>
      </c>
    </row>
    <row r="1153" spans="1:1">
      <c r="A1153" s="63">
        <v>5871</v>
      </c>
    </row>
    <row r="1154" spans="1:1">
      <c r="A1154" s="63">
        <v>5878</v>
      </c>
    </row>
    <row r="1155" spans="1:1">
      <c r="A1155" s="63">
        <v>5880</v>
      </c>
    </row>
    <row r="1156" spans="1:1">
      <c r="A1156" s="63">
        <v>5902</v>
      </c>
    </row>
    <row r="1157" spans="1:1">
      <c r="A1157" s="63">
        <v>5903</v>
      </c>
    </row>
    <row r="1158" spans="1:1">
      <c r="A1158" s="63">
        <v>5904</v>
      </c>
    </row>
    <row r="1159" spans="1:1">
      <c r="A1159" s="63">
        <v>5905</v>
      </c>
    </row>
    <row r="1160" spans="1:1">
      <c r="A1160" s="63">
        <v>5906</v>
      </c>
    </row>
    <row r="1161" spans="1:1">
      <c r="A1161" s="63">
        <v>5907</v>
      </c>
    </row>
    <row r="1162" spans="1:1">
      <c r="A1162" s="63">
        <v>6005</v>
      </c>
    </row>
    <row r="1163" spans="1:1">
      <c r="A1163" s="63">
        <v>6015</v>
      </c>
    </row>
    <row r="1164" spans="1:1">
      <c r="A1164" s="63">
        <v>6016</v>
      </c>
    </row>
    <row r="1165" spans="1:1">
      <c r="A1165" s="63">
        <v>6020</v>
      </c>
    </row>
    <row r="1166" spans="1:1">
      <c r="A1166" s="63">
        <v>6021</v>
      </c>
    </row>
    <row r="1167" spans="1:1">
      <c r="A1167" s="63">
        <v>6022</v>
      </c>
    </row>
    <row r="1168" spans="1:1">
      <c r="A1168" s="63">
        <v>6023</v>
      </c>
    </row>
    <row r="1169" spans="1:1">
      <c r="A1169" s="63">
        <v>6024</v>
      </c>
    </row>
    <row r="1170" spans="1:1">
      <c r="A1170" s="63">
        <v>6101</v>
      </c>
    </row>
    <row r="1171" spans="1:1">
      <c r="A1171" s="63">
        <v>6103</v>
      </c>
    </row>
    <row r="1172" spans="1:1">
      <c r="A1172" s="63">
        <v>6104</v>
      </c>
    </row>
    <row r="1173" spans="1:1">
      <c r="A1173" s="63">
        <v>6105</v>
      </c>
    </row>
    <row r="1174" spans="1:1">
      <c r="A1174" s="63">
        <v>6107</v>
      </c>
    </row>
    <row r="1175" spans="1:1">
      <c r="A1175" s="63">
        <v>6108</v>
      </c>
    </row>
    <row r="1176" spans="1:1">
      <c r="A1176" s="63">
        <v>6109</v>
      </c>
    </row>
    <row r="1177" spans="1:1">
      <c r="A1177" s="63">
        <v>6111</v>
      </c>
    </row>
    <row r="1178" spans="1:1">
      <c r="A1178" s="63">
        <v>6112</v>
      </c>
    </row>
    <row r="1179" spans="1:1">
      <c r="A1179" s="63">
        <v>6113</v>
      </c>
    </row>
    <row r="1180" spans="1:1">
      <c r="A1180" s="63">
        <v>6114</v>
      </c>
    </row>
    <row r="1181" spans="1:1">
      <c r="A1181" s="63">
        <v>6115</v>
      </c>
    </row>
    <row r="1182" spans="1:1">
      <c r="A1182" s="63">
        <v>6116</v>
      </c>
    </row>
    <row r="1183" spans="1:1">
      <c r="A1183" s="63">
        <v>6117</v>
      </c>
    </row>
    <row r="1184" spans="1:1">
      <c r="A1184" s="63">
        <v>6118</v>
      </c>
    </row>
    <row r="1185" spans="1:1">
      <c r="A1185" s="63">
        <v>6120</v>
      </c>
    </row>
    <row r="1186" spans="1:1">
      <c r="A1186" s="63">
        <v>6121</v>
      </c>
    </row>
    <row r="1187" spans="1:1">
      <c r="A1187" s="63">
        <v>6122</v>
      </c>
    </row>
    <row r="1188" spans="1:1">
      <c r="A1188" s="63">
        <v>6123</v>
      </c>
    </row>
    <row r="1189" spans="1:1">
      <c r="A1189" s="63">
        <v>6124</v>
      </c>
    </row>
    <row r="1190" spans="1:1">
      <c r="A1190" s="63">
        <v>6125</v>
      </c>
    </row>
    <row r="1191" spans="1:1">
      <c r="A1191" s="63">
        <v>6126</v>
      </c>
    </row>
    <row r="1192" spans="1:1">
      <c r="A1192" s="63">
        <v>6127</v>
      </c>
    </row>
    <row r="1193" spans="1:1">
      <c r="A1193" s="63">
        <v>6128</v>
      </c>
    </row>
    <row r="1194" spans="1:1">
      <c r="A1194" s="63">
        <v>6129</v>
      </c>
    </row>
    <row r="1195" spans="1:1">
      <c r="A1195" s="63">
        <v>6130</v>
      </c>
    </row>
    <row r="1196" spans="1:1">
      <c r="A1196" s="63">
        <v>6131</v>
      </c>
    </row>
    <row r="1197" spans="1:1">
      <c r="A1197" s="63">
        <v>6133</v>
      </c>
    </row>
    <row r="1198" spans="1:1">
      <c r="A1198" s="63">
        <v>6134</v>
      </c>
    </row>
    <row r="1199" spans="1:1">
      <c r="A1199" s="63">
        <v>6135</v>
      </c>
    </row>
    <row r="1200" spans="1:1">
      <c r="A1200" s="63">
        <v>6136</v>
      </c>
    </row>
    <row r="1201" spans="1:1">
      <c r="A1201" s="63">
        <v>6138</v>
      </c>
    </row>
    <row r="1202" spans="1:1">
      <c r="A1202" s="63">
        <v>6139</v>
      </c>
    </row>
    <row r="1203" spans="1:1">
      <c r="A1203" s="63">
        <v>6140</v>
      </c>
    </row>
    <row r="1204" spans="1:1">
      <c r="A1204" s="63">
        <v>6141</v>
      </c>
    </row>
    <row r="1205" spans="1:1">
      <c r="A1205" s="63">
        <v>6142</v>
      </c>
    </row>
    <row r="1206" spans="1:1">
      <c r="A1206" s="63">
        <v>6143</v>
      </c>
    </row>
    <row r="1207" spans="1:1">
      <c r="A1207" s="63">
        <v>6144</v>
      </c>
    </row>
    <row r="1208" spans="1:1">
      <c r="A1208" s="63">
        <v>6145</v>
      </c>
    </row>
    <row r="1209" spans="1:1">
      <c r="A1209" s="63">
        <v>6146</v>
      </c>
    </row>
    <row r="1210" spans="1:1">
      <c r="A1210" s="63">
        <v>6147</v>
      </c>
    </row>
    <row r="1211" spans="1:1">
      <c r="A1211" s="63">
        <v>6148</v>
      </c>
    </row>
    <row r="1212" spans="1:1">
      <c r="A1212" s="63">
        <v>6150</v>
      </c>
    </row>
    <row r="1213" spans="1:1">
      <c r="A1213" s="63">
        <v>6151</v>
      </c>
    </row>
    <row r="1214" spans="1:1">
      <c r="A1214" s="63">
        <v>6152</v>
      </c>
    </row>
    <row r="1215" spans="1:1">
      <c r="A1215" s="63">
        <v>6153</v>
      </c>
    </row>
    <row r="1216" spans="1:1">
      <c r="A1216" s="63">
        <v>6154</v>
      </c>
    </row>
    <row r="1217" spans="1:1">
      <c r="A1217" s="63">
        <v>6155</v>
      </c>
    </row>
    <row r="1218" spans="1:1">
      <c r="A1218" s="63">
        <v>6156</v>
      </c>
    </row>
    <row r="1219" spans="1:1">
      <c r="A1219" s="63">
        <v>6158</v>
      </c>
    </row>
    <row r="1220" spans="1:1">
      <c r="A1220" s="63">
        <v>6160</v>
      </c>
    </row>
    <row r="1221" spans="1:1">
      <c r="A1221" s="63">
        <v>6161</v>
      </c>
    </row>
    <row r="1222" spans="1:1">
      <c r="A1222" s="63">
        <v>6163</v>
      </c>
    </row>
    <row r="1223" spans="1:1">
      <c r="A1223" s="63">
        <v>6164</v>
      </c>
    </row>
    <row r="1224" spans="1:1">
      <c r="A1224" s="63">
        <v>6165</v>
      </c>
    </row>
    <row r="1225" spans="1:1">
      <c r="A1225" s="63">
        <v>6166</v>
      </c>
    </row>
    <row r="1226" spans="1:1">
      <c r="A1226" s="63">
        <v>6167</v>
      </c>
    </row>
    <row r="1227" spans="1:1">
      <c r="A1227" s="63">
        <v>6168</v>
      </c>
    </row>
    <row r="1228" spans="1:1">
      <c r="A1228" s="63">
        <v>6169</v>
      </c>
    </row>
    <row r="1229" spans="1:1">
      <c r="A1229" s="63">
        <v>6170</v>
      </c>
    </row>
    <row r="1230" spans="1:1">
      <c r="A1230" s="63">
        <v>6171</v>
      </c>
    </row>
    <row r="1231" spans="1:1">
      <c r="A1231" s="63">
        <v>6172</v>
      </c>
    </row>
    <row r="1232" spans="1:1">
      <c r="A1232" s="63">
        <v>6173</v>
      </c>
    </row>
    <row r="1233" spans="1:1">
      <c r="A1233" s="63">
        <v>6174</v>
      </c>
    </row>
    <row r="1234" spans="1:1">
      <c r="A1234" s="63">
        <v>6175</v>
      </c>
    </row>
    <row r="1235" spans="1:1">
      <c r="A1235" s="63">
        <v>6176</v>
      </c>
    </row>
    <row r="1236" spans="1:1">
      <c r="A1236" s="63">
        <v>6177</v>
      </c>
    </row>
    <row r="1237" spans="1:1">
      <c r="A1237" s="63">
        <v>6179</v>
      </c>
    </row>
    <row r="1238" spans="1:1">
      <c r="A1238" s="63">
        <v>6180</v>
      </c>
    </row>
    <row r="1239" spans="1:1">
      <c r="A1239" s="63">
        <v>6182</v>
      </c>
    </row>
    <row r="1240" spans="1:1">
      <c r="A1240" s="63">
        <v>6183</v>
      </c>
    </row>
    <row r="1241" spans="1:1">
      <c r="A1241" s="63">
        <v>6184</v>
      </c>
    </row>
    <row r="1242" spans="1:1">
      <c r="A1242" s="63">
        <v>6185</v>
      </c>
    </row>
    <row r="1243" spans="1:1">
      <c r="A1243" s="63">
        <v>6186</v>
      </c>
    </row>
    <row r="1244" spans="1:1">
      <c r="A1244" s="63">
        <v>6187</v>
      </c>
    </row>
    <row r="1245" spans="1:1">
      <c r="A1245" s="63">
        <v>6188</v>
      </c>
    </row>
    <row r="1246" spans="1:1">
      <c r="A1246" s="63">
        <v>6189</v>
      </c>
    </row>
    <row r="1247" spans="1:1">
      <c r="A1247" s="63">
        <v>6190</v>
      </c>
    </row>
    <row r="1248" spans="1:1">
      <c r="A1248" s="63">
        <v>6191</v>
      </c>
    </row>
    <row r="1249" spans="1:1">
      <c r="A1249" s="63">
        <v>6192</v>
      </c>
    </row>
    <row r="1250" spans="1:1">
      <c r="A1250" s="63">
        <v>6194</v>
      </c>
    </row>
    <row r="1251" spans="1:1">
      <c r="A1251" s="63">
        <v>6195</v>
      </c>
    </row>
    <row r="1252" spans="1:1">
      <c r="A1252" s="63">
        <v>6196</v>
      </c>
    </row>
    <row r="1253" spans="1:1">
      <c r="A1253" s="63">
        <v>6197</v>
      </c>
    </row>
    <row r="1254" spans="1:1">
      <c r="A1254" s="63">
        <v>6198</v>
      </c>
    </row>
    <row r="1255" spans="1:1">
      <c r="A1255" s="63">
        <v>6199</v>
      </c>
    </row>
    <row r="1256" spans="1:1">
      <c r="A1256" s="63">
        <v>6201</v>
      </c>
    </row>
    <row r="1257" spans="1:1">
      <c r="A1257" s="63">
        <v>6202</v>
      </c>
    </row>
    <row r="1258" spans="1:1">
      <c r="A1258" s="63">
        <v>6203</v>
      </c>
    </row>
    <row r="1259" spans="1:1">
      <c r="A1259" s="63">
        <v>6204</v>
      </c>
    </row>
    <row r="1260" spans="1:1">
      <c r="A1260" s="63">
        <v>6205</v>
      </c>
    </row>
    <row r="1261" spans="1:1">
      <c r="A1261" s="63">
        <v>6206</v>
      </c>
    </row>
    <row r="1262" spans="1:1">
      <c r="A1262" s="63">
        <v>6207</v>
      </c>
    </row>
    <row r="1263" spans="1:1">
      <c r="A1263" s="63">
        <v>6208</v>
      </c>
    </row>
    <row r="1264" spans="1:1">
      <c r="A1264" s="63">
        <v>6209</v>
      </c>
    </row>
    <row r="1265" spans="1:1">
      <c r="A1265" s="63">
        <v>6210</v>
      </c>
    </row>
    <row r="1266" spans="1:1">
      <c r="A1266" s="63">
        <v>6211</v>
      </c>
    </row>
    <row r="1267" spans="1:1">
      <c r="A1267" s="63">
        <v>6212</v>
      </c>
    </row>
    <row r="1268" spans="1:1">
      <c r="A1268" s="63">
        <v>6213</v>
      </c>
    </row>
    <row r="1269" spans="1:1">
      <c r="A1269" s="63">
        <v>6214</v>
      </c>
    </row>
    <row r="1270" spans="1:1">
      <c r="A1270" s="63">
        <v>6215</v>
      </c>
    </row>
    <row r="1271" spans="1:1">
      <c r="A1271" s="63">
        <v>6216</v>
      </c>
    </row>
    <row r="1272" spans="1:1">
      <c r="A1272" s="63">
        <v>6217</v>
      </c>
    </row>
    <row r="1273" spans="1:1">
      <c r="A1273" s="63">
        <v>6218</v>
      </c>
    </row>
    <row r="1274" spans="1:1">
      <c r="A1274" s="63">
        <v>6219</v>
      </c>
    </row>
    <row r="1275" spans="1:1">
      <c r="A1275" s="63">
        <v>6220</v>
      </c>
    </row>
    <row r="1276" spans="1:1">
      <c r="A1276" s="63">
        <v>6221</v>
      </c>
    </row>
    <row r="1277" spans="1:1">
      <c r="A1277" s="63">
        <v>6222</v>
      </c>
    </row>
    <row r="1278" spans="1:1">
      <c r="A1278" s="63">
        <v>6223</v>
      </c>
    </row>
    <row r="1279" spans="1:1">
      <c r="A1279" s="63">
        <v>6224</v>
      </c>
    </row>
    <row r="1280" spans="1:1">
      <c r="A1280" s="63">
        <v>6225</v>
      </c>
    </row>
    <row r="1281" spans="1:1">
      <c r="A1281" s="63">
        <v>6226</v>
      </c>
    </row>
    <row r="1282" spans="1:1">
      <c r="A1282" s="63">
        <v>6227</v>
      </c>
    </row>
    <row r="1283" spans="1:1">
      <c r="A1283" s="63">
        <v>6228</v>
      </c>
    </row>
    <row r="1284" spans="1:1">
      <c r="A1284" s="63">
        <v>6229</v>
      </c>
    </row>
    <row r="1285" spans="1:1">
      <c r="A1285" s="63">
        <v>6230</v>
      </c>
    </row>
    <row r="1286" spans="1:1">
      <c r="A1286" s="63">
        <v>6231</v>
      </c>
    </row>
    <row r="1287" spans="1:1">
      <c r="A1287" s="63">
        <v>6233</v>
      </c>
    </row>
    <row r="1288" spans="1:1">
      <c r="A1288" s="63">
        <v>6234</v>
      </c>
    </row>
    <row r="1289" spans="1:1">
      <c r="A1289" s="63">
        <v>6235</v>
      </c>
    </row>
    <row r="1290" spans="1:1">
      <c r="A1290" s="63">
        <v>6236</v>
      </c>
    </row>
    <row r="1291" spans="1:1">
      <c r="A1291" s="63">
        <v>6237</v>
      </c>
    </row>
    <row r="1292" spans="1:1">
      <c r="A1292" s="63">
        <v>6238</v>
      </c>
    </row>
    <row r="1293" spans="1:1">
      <c r="A1293" s="63">
        <v>6239</v>
      </c>
    </row>
    <row r="1294" spans="1:1">
      <c r="A1294" s="63">
        <v>6240</v>
      </c>
    </row>
    <row r="1295" spans="1:1">
      <c r="A1295" s="63">
        <v>6241</v>
      </c>
    </row>
    <row r="1296" spans="1:1">
      <c r="A1296" s="63">
        <v>6243</v>
      </c>
    </row>
    <row r="1297" spans="1:1">
      <c r="A1297" s="63">
        <v>6244</v>
      </c>
    </row>
    <row r="1298" spans="1:1">
      <c r="A1298" s="63">
        <v>6245</v>
      </c>
    </row>
    <row r="1299" spans="1:1">
      <c r="A1299" s="63">
        <v>6246</v>
      </c>
    </row>
    <row r="1300" spans="1:1">
      <c r="A1300" s="63">
        <v>6247</v>
      </c>
    </row>
    <row r="1301" spans="1:1">
      <c r="A1301" s="63">
        <v>6248</v>
      </c>
    </row>
    <row r="1302" spans="1:1">
      <c r="A1302" s="63">
        <v>6250</v>
      </c>
    </row>
    <row r="1303" spans="1:1">
      <c r="A1303" s="63">
        <v>6251</v>
      </c>
    </row>
    <row r="1304" spans="1:1">
      <c r="A1304" s="63">
        <v>6257</v>
      </c>
    </row>
    <row r="1305" spans="1:1">
      <c r="A1305" s="63">
        <v>6259</v>
      </c>
    </row>
    <row r="1306" spans="1:1">
      <c r="A1306" s="63">
        <v>6261</v>
      </c>
    </row>
    <row r="1307" spans="1:1">
      <c r="A1307" s="63">
        <v>6263</v>
      </c>
    </row>
    <row r="1308" spans="1:1">
      <c r="A1308" s="63">
        <v>6264</v>
      </c>
    </row>
    <row r="1309" spans="1:1">
      <c r="A1309" s="63">
        <v>6265</v>
      </c>
    </row>
    <row r="1310" spans="1:1">
      <c r="A1310" s="63">
        <v>6266</v>
      </c>
    </row>
    <row r="1311" spans="1:1">
      <c r="A1311" s="63">
        <v>6269</v>
      </c>
    </row>
    <row r="1312" spans="1:1">
      <c r="A1312" s="63">
        <v>6270</v>
      </c>
    </row>
    <row r="1313" spans="1:1">
      <c r="A1313" s="63">
        <v>6271</v>
      </c>
    </row>
    <row r="1314" spans="1:1">
      <c r="A1314" s="63">
        <v>6274</v>
      </c>
    </row>
    <row r="1315" spans="1:1">
      <c r="A1315" s="63">
        <v>6275</v>
      </c>
    </row>
    <row r="1316" spans="1:1">
      <c r="A1316" s="63">
        <v>6276</v>
      </c>
    </row>
    <row r="1317" spans="1:1">
      <c r="A1317" s="63">
        <v>6277</v>
      </c>
    </row>
    <row r="1318" spans="1:1">
      <c r="A1318" s="63">
        <v>6278</v>
      </c>
    </row>
    <row r="1319" spans="1:1">
      <c r="A1319" s="63">
        <v>6279</v>
      </c>
    </row>
    <row r="1320" spans="1:1">
      <c r="A1320" s="63">
        <v>6281</v>
      </c>
    </row>
    <row r="1321" spans="1:1">
      <c r="A1321" s="63">
        <v>6282</v>
      </c>
    </row>
    <row r="1322" spans="1:1">
      <c r="A1322" s="63">
        <v>6283</v>
      </c>
    </row>
    <row r="1323" spans="1:1">
      <c r="A1323" s="63">
        <v>6284</v>
      </c>
    </row>
    <row r="1324" spans="1:1">
      <c r="A1324" s="63">
        <v>6285</v>
      </c>
    </row>
    <row r="1325" spans="1:1">
      <c r="A1325" s="63">
        <v>6286</v>
      </c>
    </row>
    <row r="1326" spans="1:1">
      <c r="A1326" s="63">
        <v>6287</v>
      </c>
    </row>
    <row r="1327" spans="1:1">
      <c r="A1327" s="63">
        <v>6289</v>
      </c>
    </row>
    <row r="1328" spans="1:1">
      <c r="A1328" s="63">
        <v>6290</v>
      </c>
    </row>
    <row r="1329" spans="1:1">
      <c r="A1329" s="63">
        <v>6291</v>
      </c>
    </row>
    <row r="1330" spans="1:1">
      <c r="A1330" s="63">
        <v>6292</v>
      </c>
    </row>
    <row r="1331" spans="1:1">
      <c r="A1331" s="63">
        <v>6294</v>
      </c>
    </row>
    <row r="1332" spans="1:1">
      <c r="A1332" s="63">
        <v>6298</v>
      </c>
    </row>
    <row r="1333" spans="1:1">
      <c r="A1333" s="63">
        <v>6404</v>
      </c>
    </row>
    <row r="1334" spans="1:1">
      <c r="A1334" s="63">
        <v>6405</v>
      </c>
    </row>
    <row r="1335" spans="1:1">
      <c r="A1335" s="63">
        <v>6409</v>
      </c>
    </row>
    <row r="1336" spans="1:1">
      <c r="A1336" s="63">
        <v>6411</v>
      </c>
    </row>
    <row r="1337" spans="1:1">
      <c r="A1337" s="63">
        <v>6412</v>
      </c>
    </row>
    <row r="1338" spans="1:1">
      <c r="A1338" s="63">
        <v>6414</v>
      </c>
    </row>
    <row r="1339" spans="1:1">
      <c r="A1339" s="63">
        <v>6415</v>
      </c>
    </row>
    <row r="1340" spans="1:1">
      <c r="A1340" s="63">
        <v>6419</v>
      </c>
    </row>
    <row r="1341" spans="1:1">
      <c r="A1341" s="63">
        <v>6422</v>
      </c>
    </row>
    <row r="1342" spans="1:1">
      <c r="A1342" s="63">
        <v>6426</v>
      </c>
    </row>
    <row r="1343" spans="1:1">
      <c r="A1343" s="63">
        <v>6431</v>
      </c>
    </row>
    <row r="1344" spans="1:1">
      <c r="A1344" s="63">
        <v>6449</v>
      </c>
    </row>
    <row r="1345" spans="1:1">
      <c r="A1345" s="63">
        <v>6451</v>
      </c>
    </row>
    <row r="1346" spans="1:1">
      <c r="A1346" s="63">
        <v>6452</v>
      </c>
    </row>
    <row r="1347" spans="1:1">
      <c r="A1347" s="63">
        <v>6504</v>
      </c>
    </row>
    <row r="1348" spans="1:1">
      <c r="A1348" s="63">
        <v>6505</v>
      </c>
    </row>
    <row r="1349" spans="1:1">
      <c r="A1349" s="63">
        <v>6506</v>
      </c>
    </row>
    <row r="1350" spans="1:1">
      <c r="A1350" s="63">
        <v>6508</v>
      </c>
    </row>
    <row r="1351" spans="1:1">
      <c r="A1351" s="63">
        <v>6509</v>
      </c>
    </row>
    <row r="1352" spans="1:1">
      <c r="A1352" s="63">
        <v>6603</v>
      </c>
    </row>
    <row r="1353" spans="1:1">
      <c r="A1353" s="63">
        <v>6605</v>
      </c>
    </row>
    <row r="1354" spans="1:1">
      <c r="A1354" s="63">
        <v>6609</v>
      </c>
    </row>
    <row r="1355" spans="1:1">
      <c r="A1355" s="63">
        <v>6702</v>
      </c>
    </row>
    <row r="1356" spans="1:1">
      <c r="A1356" s="63">
        <v>6803</v>
      </c>
    </row>
    <row r="1357" spans="1:1">
      <c r="A1357" s="63">
        <v>8011</v>
      </c>
    </row>
    <row r="1358" spans="1:1">
      <c r="A1358" s="63">
        <v>8016</v>
      </c>
    </row>
    <row r="1359" spans="1:1">
      <c r="A1359" s="63">
        <v>8021</v>
      </c>
    </row>
    <row r="1360" spans="1:1">
      <c r="A1360" s="63">
        <v>8024</v>
      </c>
    </row>
    <row r="1361" spans="1:1">
      <c r="A1361" s="63">
        <v>8032</v>
      </c>
    </row>
    <row r="1362" spans="1:1">
      <c r="A1362" s="63">
        <v>8033</v>
      </c>
    </row>
    <row r="1363" spans="1:1">
      <c r="A1363" s="63">
        <v>8034</v>
      </c>
    </row>
    <row r="1364" spans="1:1">
      <c r="A1364" s="63">
        <v>8038</v>
      </c>
    </row>
    <row r="1365" spans="1:1">
      <c r="A1365" s="63">
        <v>8039</v>
      </c>
    </row>
    <row r="1366" spans="1:1">
      <c r="A1366" s="63">
        <v>8040</v>
      </c>
    </row>
    <row r="1367" spans="1:1">
      <c r="A1367" s="63">
        <v>8042</v>
      </c>
    </row>
    <row r="1368" spans="1:1">
      <c r="A1368" s="63">
        <v>8043</v>
      </c>
    </row>
    <row r="1369" spans="1:1">
      <c r="A1369" s="63">
        <v>8044</v>
      </c>
    </row>
    <row r="1370" spans="1:1">
      <c r="A1370" s="63">
        <v>8046</v>
      </c>
    </row>
    <row r="1371" spans="1:1">
      <c r="A1371" s="63">
        <v>8047</v>
      </c>
    </row>
    <row r="1372" spans="1:1">
      <c r="A1372" s="63">
        <v>8048</v>
      </c>
    </row>
    <row r="1373" spans="1:1">
      <c r="A1373" s="63">
        <v>8049</v>
      </c>
    </row>
    <row r="1374" spans="1:1">
      <c r="A1374" s="63">
        <v>8050</v>
      </c>
    </row>
    <row r="1375" spans="1:1">
      <c r="A1375" s="63">
        <v>8053</v>
      </c>
    </row>
    <row r="1376" spans="1:1">
      <c r="A1376" s="63">
        <v>8054</v>
      </c>
    </row>
    <row r="1377" spans="1:1">
      <c r="A1377" s="63">
        <v>8059</v>
      </c>
    </row>
    <row r="1378" spans="1:1">
      <c r="A1378" s="63">
        <v>8064</v>
      </c>
    </row>
    <row r="1379" spans="1:1">
      <c r="A1379" s="63">
        <v>8066</v>
      </c>
    </row>
    <row r="1380" spans="1:1">
      <c r="A1380" s="63">
        <v>8067</v>
      </c>
    </row>
    <row r="1381" spans="1:1">
      <c r="A1381" s="63">
        <v>8068</v>
      </c>
    </row>
    <row r="1382" spans="1:1">
      <c r="A1382" s="63">
        <v>8069</v>
      </c>
    </row>
    <row r="1383" spans="1:1">
      <c r="A1383" s="63">
        <v>8070</v>
      </c>
    </row>
    <row r="1384" spans="1:1">
      <c r="A1384" s="63">
        <v>8071</v>
      </c>
    </row>
    <row r="1385" spans="1:1">
      <c r="A1385" s="63">
        <v>8072</v>
      </c>
    </row>
    <row r="1386" spans="1:1">
      <c r="A1386" s="63">
        <v>8074</v>
      </c>
    </row>
    <row r="1387" spans="1:1">
      <c r="A1387" s="63">
        <v>8076</v>
      </c>
    </row>
    <row r="1388" spans="1:1">
      <c r="A1388" s="63">
        <v>8077</v>
      </c>
    </row>
    <row r="1389" spans="1:1">
      <c r="A1389" s="63">
        <v>8079</v>
      </c>
    </row>
    <row r="1390" spans="1:1">
      <c r="A1390" s="63">
        <v>8080</v>
      </c>
    </row>
    <row r="1391" spans="1:1">
      <c r="A1391" s="63">
        <v>8081</v>
      </c>
    </row>
    <row r="1392" spans="1:1">
      <c r="A1392" s="63">
        <v>8082</v>
      </c>
    </row>
    <row r="1393" spans="1:1">
      <c r="A1393" s="63">
        <v>8083</v>
      </c>
    </row>
    <row r="1394" spans="1:1">
      <c r="A1394" s="63">
        <v>8084</v>
      </c>
    </row>
    <row r="1395" spans="1:1">
      <c r="A1395" s="63">
        <v>8085</v>
      </c>
    </row>
    <row r="1396" spans="1:1">
      <c r="A1396" s="63">
        <v>8086</v>
      </c>
    </row>
    <row r="1397" spans="1:1">
      <c r="A1397" s="63">
        <v>8087</v>
      </c>
    </row>
    <row r="1398" spans="1:1">
      <c r="A1398" s="63">
        <v>8088</v>
      </c>
    </row>
    <row r="1399" spans="1:1">
      <c r="A1399" s="63">
        <v>8091</v>
      </c>
    </row>
    <row r="1400" spans="1:1">
      <c r="A1400" s="63">
        <v>8092</v>
      </c>
    </row>
    <row r="1401" spans="1:1">
      <c r="A1401" s="63">
        <v>8093</v>
      </c>
    </row>
    <row r="1402" spans="1:1">
      <c r="A1402" s="63">
        <v>8096</v>
      </c>
    </row>
    <row r="1403" spans="1:1">
      <c r="A1403" s="63">
        <v>8097</v>
      </c>
    </row>
    <row r="1404" spans="1:1">
      <c r="A1404" s="63">
        <v>8099</v>
      </c>
    </row>
    <row r="1405" spans="1:1">
      <c r="A1405" s="63">
        <v>8101</v>
      </c>
    </row>
    <row r="1406" spans="1:1">
      <c r="A1406" s="63">
        <v>8103</v>
      </c>
    </row>
    <row r="1407" spans="1:1">
      <c r="A1407" s="63">
        <v>8105</v>
      </c>
    </row>
    <row r="1408" spans="1:1">
      <c r="A1408" s="63">
        <v>8107</v>
      </c>
    </row>
    <row r="1409" spans="1:1">
      <c r="A1409" s="63">
        <v>8109</v>
      </c>
    </row>
    <row r="1410" spans="1:1">
      <c r="A1410" s="63">
        <v>8110</v>
      </c>
    </row>
    <row r="1411" spans="1:1">
      <c r="A1411" s="63">
        <v>8111</v>
      </c>
    </row>
    <row r="1412" spans="1:1">
      <c r="A1412" s="63">
        <v>8112</v>
      </c>
    </row>
    <row r="1413" spans="1:1">
      <c r="A1413" s="63">
        <v>8114</v>
      </c>
    </row>
    <row r="1414" spans="1:1">
      <c r="A1414" s="63">
        <v>8121</v>
      </c>
    </row>
    <row r="1415" spans="1:1">
      <c r="A1415" s="63">
        <v>8131</v>
      </c>
    </row>
    <row r="1416" spans="1:1">
      <c r="A1416" s="63">
        <v>8147</v>
      </c>
    </row>
    <row r="1417" spans="1:1">
      <c r="A1417" s="63">
        <v>8150</v>
      </c>
    </row>
    <row r="1418" spans="1:1">
      <c r="A1418" s="63">
        <v>8155</v>
      </c>
    </row>
    <row r="1419" spans="1:1">
      <c r="A1419" s="63">
        <v>8163</v>
      </c>
    </row>
    <row r="1420" spans="1:1">
      <c r="A1420" s="63">
        <v>8171</v>
      </c>
    </row>
    <row r="1421" spans="1:1">
      <c r="A1421" s="63">
        <v>8176</v>
      </c>
    </row>
    <row r="1422" spans="1:1">
      <c r="A1422" s="63">
        <v>8182</v>
      </c>
    </row>
    <row r="1423" spans="1:1">
      <c r="A1423" s="63">
        <v>8183</v>
      </c>
    </row>
    <row r="1424" spans="1:1">
      <c r="A1424" s="63">
        <v>8201</v>
      </c>
    </row>
    <row r="1425" spans="1:1">
      <c r="A1425" s="63">
        <v>8210</v>
      </c>
    </row>
    <row r="1426" spans="1:1">
      <c r="A1426" s="63">
        <v>8213</v>
      </c>
    </row>
    <row r="1427" spans="1:1">
      <c r="A1427" s="63">
        <v>8215</v>
      </c>
    </row>
    <row r="1428" spans="1:1">
      <c r="A1428" s="63">
        <v>8222</v>
      </c>
    </row>
    <row r="1429" spans="1:1">
      <c r="A1429" s="63">
        <v>8234</v>
      </c>
    </row>
    <row r="1430" spans="1:1">
      <c r="A1430" s="63">
        <v>8240</v>
      </c>
    </row>
    <row r="1431" spans="1:1">
      <c r="A1431" s="63">
        <v>8249</v>
      </c>
    </row>
    <row r="1432" spans="1:1">
      <c r="A1432" s="63">
        <v>8255</v>
      </c>
    </row>
    <row r="1433" spans="1:1">
      <c r="A1433" s="63">
        <v>8261</v>
      </c>
    </row>
    <row r="1434" spans="1:1">
      <c r="A1434" s="63">
        <v>8266</v>
      </c>
    </row>
    <row r="1435" spans="1:1">
      <c r="A1435" s="63">
        <v>8271</v>
      </c>
    </row>
    <row r="1436" spans="1:1">
      <c r="A1436" s="63">
        <v>8277</v>
      </c>
    </row>
    <row r="1437" spans="1:1">
      <c r="A1437" s="63">
        <v>8287</v>
      </c>
    </row>
    <row r="1438" spans="1:1">
      <c r="A1438" s="63">
        <v>8289</v>
      </c>
    </row>
    <row r="1439" spans="1:1">
      <c r="A1439" s="63">
        <v>8291</v>
      </c>
    </row>
    <row r="1440" spans="1:1">
      <c r="A1440" s="63">
        <v>8299</v>
      </c>
    </row>
    <row r="1441" spans="1:1">
      <c r="A1441" s="63">
        <v>8341</v>
      </c>
    </row>
    <row r="1442" spans="1:1">
      <c r="A1442" s="63">
        <v>8349</v>
      </c>
    </row>
    <row r="1443" spans="1:1">
      <c r="A1443" s="63">
        <v>8354</v>
      </c>
    </row>
    <row r="1444" spans="1:1">
      <c r="A1444" s="63">
        <v>8358</v>
      </c>
    </row>
    <row r="1445" spans="1:1">
      <c r="A1445" s="63">
        <v>8374</v>
      </c>
    </row>
    <row r="1446" spans="1:1">
      <c r="A1446" s="63">
        <v>8383</v>
      </c>
    </row>
    <row r="1447" spans="1:1">
      <c r="A1447" s="63">
        <v>8390</v>
      </c>
    </row>
    <row r="1448" spans="1:1">
      <c r="A1448" s="63">
        <v>8401</v>
      </c>
    </row>
    <row r="1449" spans="1:1">
      <c r="A1449" s="63">
        <v>8403</v>
      </c>
    </row>
    <row r="1450" spans="1:1">
      <c r="A1450" s="63">
        <v>8404</v>
      </c>
    </row>
    <row r="1451" spans="1:1">
      <c r="A1451" s="63">
        <v>8406</v>
      </c>
    </row>
    <row r="1452" spans="1:1">
      <c r="A1452" s="63">
        <v>8409</v>
      </c>
    </row>
    <row r="1453" spans="1:1">
      <c r="A1453" s="63">
        <v>8410</v>
      </c>
    </row>
    <row r="1454" spans="1:1">
      <c r="A1454" s="63">
        <v>8411</v>
      </c>
    </row>
    <row r="1455" spans="1:1">
      <c r="A1455" s="63">
        <v>8416</v>
      </c>
    </row>
    <row r="1456" spans="1:1">
      <c r="A1456" s="63">
        <v>8418</v>
      </c>
    </row>
    <row r="1457" spans="1:1">
      <c r="A1457" s="63">
        <v>8420</v>
      </c>
    </row>
    <row r="1458" spans="1:1">
      <c r="A1458" s="63">
        <v>8421</v>
      </c>
    </row>
    <row r="1459" spans="1:1">
      <c r="A1459" s="63">
        <v>8422</v>
      </c>
    </row>
    <row r="1460" spans="1:1">
      <c r="A1460" s="63">
        <v>8423</v>
      </c>
    </row>
    <row r="1461" spans="1:1">
      <c r="A1461" s="63">
        <v>8424</v>
      </c>
    </row>
    <row r="1462" spans="1:1">
      <c r="A1462" s="63">
        <v>8426</v>
      </c>
    </row>
    <row r="1463" spans="1:1">
      <c r="A1463" s="63">
        <v>8427</v>
      </c>
    </row>
    <row r="1464" spans="1:1">
      <c r="A1464" s="63">
        <v>8429</v>
      </c>
    </row>
    <row r="1465" spans="1:1">
      <c r="A1465" s="63">
        <v>8431</v>
      </c>
    </row>
    <row r="1466" spans="1:1">
      <c r="A1466" s="63">
        <v>8432</v>
      </c>
    </row>
    <row r="1467" spans="1:1">
      <c r="A1467" s="63">
        <v>8433</v>
      </c>
    </row>
    <row r="1468" spans="1:1">
      <c r="A1468" s="63">
        <v>8435</v>
      </c>
    </row>
    <row r="1469" spans="1:1">
      <c r="A1469" s="63">
        <v>8436</v>
      </c>
    </row>
    <row r="1470" spans="1:1">
      <c r="A1470" s="63">
        <v>8443</v>
      </c>
    </row>
    <row r="1471" spans="1:1">
      <c r="A1471" s="63">
        <v>8446</v>
      </c>
    </row>
    <row r="1472" spans="1:1">
      <c r="A1472" s="63">
        <v>8450</v>
      </c>
    </row>
    <row r="1473" spans="1:1">
      <c r="A1473" s="63">
        <v>8454</v>
      </c>
    </row>
    <row r="1474" spans="1:1">
      <c r="A1474" s="63">
        <v>8905</v>
      </c>
    </row>
    <row r="1475" spans="1:1">
      <c r="A1475" s="63">
        <v>8906</v>
      </c>
    </row>
    <row r="1476" spans="1:1">
      <c r="A1476" s="63">
        <v>8908</v>
      </c>
    </row>
    <row r="1477" spans="1:1">
      <c r="A1477" s="63">
        <v>8913</v>
      </c>
    </row>
    <row r="1478" spans="1:1">
      <c r="A1478" s="63">
        <v>8916</v>
      </c>
    </row>
    <row r="1479" spans="1:1">
      <c r="A1479" s="63">
        <v>8917</v>
      </c>
    </row>
    <row r="1480" spans="1:1">
      <c r="A1480" s="63">
        <v>8921</v>
      </c>
    </row>
    <row r="1481" spans="1:1">
      <c r="A1481" s="63">
        <v>8923</v>
      </c>
    </row>
    <row r="1482" spans="1:1">
      <c r="A1482" s="63">
        <v>8924</v>
      </c>
    </row>
    <row r="1483" spans="1:1">
      <c r="A1483" s="63">
        <v>8925</v>
      </c>
    </row>
    <row r="1484" spans="1:1">
      <c r="A1484" s="63">
        <v>8926</v>
      </c>
    </row>
    <row r="1485" spans="1:1">
      <c r="A1485" s="63">
        <v>8927</v>
      </c>
    </row>
    <row r="1486" spans="1:1">
      <c r="A1486" s="63">
        <v>8928</v>
      </c>
    </row>
    <row r="1487" spans="1:1">
      <c r="A1487" s="63">
        <v>8929</v>
      </c>
    </row>
    <row r="1488" spans="1:1">
      <c r="A1488" s="63">
        <v>8930</v>
      </c>
    </row>
    <row r="1489" spans="1:1">
      <c r="A1489" s="63">
        <v>8931</v>
      </c>
    </row>
    <row r="1490" spans="1:1">
      <c r="A1490" s="63">
        <v>8932</v>
      </c>
    </row>
    <row r="1491" spans="1:1">
      <c r="A1491" s="63">
        <v>8933</v>
      </c>
    </row>
    <row r="1492" spans="1:1">
      <c r="A1492" s="63">
        <v>8934</v>
      </c>
    </row>
    <row r="1493" spans="1:1">
      <c r="A1493" s="63">
        <v>8935</v>
      </c>
    </row>
    <row r="1494" spans="1:1">
      <c r="A1494" s="63">
        <v>8936</v>
      </c>
    </row>
    <row r="1495" spans="1:1">
      <c r="A1495" s="63">
        <v>8937</v>
      </c>
    </row>
    <row r="1496" spans="1:1">
      <c r="A1496" s="63">
        <v>8938</v>
      </c>
    </row>
    <row r="1497" spans="1:1">
      <c r="A1497" s="63">
        <v>8940</v>
      </c>
    </row>
    <row r="1498" spans="1:1">
      <c r="A1498" s="63">
        <v>8941</v>
      </c>
    </row>
    <row r="1499" spans="1:1">
      <c r="A1499" s="63">
        <v>8942</v>
      </c>
    </row>
    <row r="1500" spans="1:1">
      <c r="A1500" s="63">
        <v>8996</v>
      </c>
    </row>
    <row r="1501" spans="1:1">
      <c r="A1501" s="63">
        <v>9802</v>
      </c>
    </row>
    <row r="1502" spans="1:1">
      <c r="A1502" s="63">
        <v>9902</v>
      </c>
    </row>
    <row r="1503" spans="1:1">
      <c r="A1503" s="63">
        <v>9904</v>
      </c>
    </row>
    <row r="1504" spans="1:1">
      <c r="A1504" s="63">
        <v>9905</v>
      </c>
    </row>
    <row r="1505" spans="1:1">
      <c r="A1505" s="63">
        <v>9906</v>
      </c>
    </row>
    <row r="1506" spans="1:1">
      <c r="A1506" s="63">
        <v>9907</v>
      </c>
    </row>
    <row r="1507" spans="1:1">
      <c r="A1507" s="63">
        <v>9908</v>
      </c>
    </row>
    <row r="1508" spans="1:1">
      <c r="A1508" s="63">
        <v>9910</v>
      </c>
    </row>
    <row r="1509" spans="1:1">
      <c r="A1509" s="63">
        <v>9911</v>
      </c>
    </row>
    <row r="1510" spans="1:1">
      <c r="A1510" s="63">
        <v>9912</v>
      </c>
    </row>
    <row r="1511" spans="1:1">
      <c r="A1511" s="63">
        <v>9914</v>
      </c>
    </row>
    <row r="1512" spans="1:1">
      <c r="A1512" s="63">
        <v>9917</v>
      </c>
    </row>
    <row r="1513" spans="1:1">
      <c r="A1513" s="63">
        <v>9918</v>
      </c>
    </row>
    <row r="1514" spans="1:1">
      <c r="A1514" s="63">
        <v>9919</v>
      </c>
    </row>
    <row r="1515" spans="1:1">
      <c r="A1515" s="63">
        <v>9921</v>
      </c>
    </row>
    <row r="1516" spans="1:1">
      <c r="A1516" s="63">
        <v>9924</v>
      </c>
    </row>
    <row r="1517" spans="1:1">
      <c r="A1517" s="63">
        <v>9925</v>
      </c>
    </row>
    <row r="1518" spans="1:1">
      <c r="A1518" s="63">
        <v>9926</v>
      </c>
    </row>
    <row r="1519" spans="1:1">
      <c r="A1519" s="63">
        <v>9927</v>
      </c>
    </row>
    <row r="1520" spans="1:1">
      <c r="A1520" s="63">
        <v>9928</v>
      </c>
    </row>
    <row r="1521" spans="1:1">
      <c r="A1521" s="63">
        <v>9929</v>
      </c>
    </row>
    <row r="1522" spans="1:1">
      <c r="A1522" s="63">
        <v>9930</v>
      </c>
    </row>
    <row r="1523" spans="1:1">
      <c r="A1523" s="63">
        <v>9931</v>
      </c>
    </row>
    <row r="1524" spans="1:1">
      <c r="A1524" s="63">
        <v>9933</v>
      </c>
    </row>
    <row r="1525" spans="1:1">
      <c r="A1525" s="63">
        <v>9934</v>
      </c>
    </row>
    <row r="1526" spans="1:1">
      <c r="A1526" s="63">
        <v>9935</v>
      </c>
    </row>
    <row r="1527" spans="1:1">
      <c r="A1527" s="63">
        <v>9937</v>
      </c>
    </row>
    <row r="1528" spans="1:1">
      <c r="A1528" s="63">
        <v>9938</v>
      </c>
    </row>
    <row r="1529" spans="1:1">
      <c r="A1529" s="63">
        <v>9939</v>
      </c>
    </row>
    <row r="1530" spans="1:1">
      <c r="A1530" s="63">
        <v>9940</v>
      </c>
    </row>
    <row r="1531" spans="1:1">
      <c r="A1531" s="63">
        <v>9941</v>
      </c>
    </row>
    <row r="1532" spans="1:1">
      <c r="A1532" s="63">
        <v>9942</v>
      </c>
    </row>
    <row r="1533" spans="1:1">
      <c r="A1533" s="63">
        <v>9943</v>
      </c>
    </row>
    <row r="1534" spans="1:1">
      <c r="A1534" s="63">
        <v>9944</v>
      </c>
    </row>
    <row r="1535" spans="1:1">
      <c r="A1535" s="63">
        <v>9945</v>
      </c>
    </row>
    <row r="1536" spans="1:1">
      <c r="A1536" s="63">
        <v>9946</v>
      </c>
    </row>
    <row r="1537" spans="1:1">
      <c r="A1537" s="63">
        <v>9949</v>
      </c>
    </row>
    <row r="1538" spans="1:1">
      <c r="A1538" s="63">
        <v>9950</v>
      </c>
    </row>
    <row r="1539" spans="1:1">
      <c r="A1539" s="63">
        <v>9951</v>
      </c>
    </row>
    <row r="1540" spans="1:1">
      <c r="A1540" s="63">
        <v>9955</v>
      </c>
    </row>
    <row r="1541" spans="1:1">
      <c r="A1541" s="63">
        <v>9958</v>
      </c>
    </row>
    <row r="1542" spans="1:1">
      <c r="A1542" s="63">
        <v>9960</v>
      </c>
    </row>
    <row r="1543" spans="1:1">
      <c r="A1543" s="63">
        <v>9962</v>
      </c>
    </row>
  </sheetData>
  <phoneticPr fontId="2" type="noConversion"/>
  <hyperlinks>
    <hyperlink ref="A2" r:id="rId1" display="1729"/>
    <hyperlink ref="A3" r:id="rId2" display="2433"/>
    <hyperlink ref="A4" r:id="rId3" display="3152"/>
    <hyperlink ref="A5" r:id="rId4" display="3163"/>
    <hyperlink ref="A6" r:id="rId5" display="3205"/>
    <hyperlink ref="A7" r:id="rId6" display="3206"/>
    <hyperlink ref="B2" r:id="rId7" display="1256"/>
    <hyperlink ref="B3" r:id="rId8" display="2313"/>
    <hyperlink ref="B4" r:id="rId9" display="2383"/>
    <hyperlink ref="B5" r:id="rId10" display="2406"/>
    <hyperlink ref="B6" r:id="rId11" display="2433"/>
    <hyperlink ref="B7" r:id="rId12" display="2438"/>
    <hyperlink ref="B8" r:id="rId13" display="2474"/>
    <hyperlink ref="B9" r:id="rId14" display="3152"/>
    <hyperlink ref="B10" r:id="rId15" display="3234"/>
    <hyperlink ref="B11" r:id="rId16" display="3294"/>
    <hyperlink ref="B12" r:id="rId17" display="3373"/>
    <hyperlink ref="B13" r:id="rId18" display="3593"/>
    <hyperlink ref="B14" r:id="rId19" display="3691"/>
    <hyperlink ref="B15" r:id="rId20" display="4123"/>
    <hyperlink ref="B16" r:id="rId21" display="4415"/>
    <hyperlink ref="B17" r:id="rId22" display="8016"/>
    <hyperlink ref="B18" r:id="rId23" display="8436"/>
    <hyperlink ref="B19" r:id="rId24" display="9910"/>
  </hyperlinks>
  <pageMargins left="0.7" right="0.7" top="0.75" bottom="0.75" header="0.3" footer="0.3"/>
  <pageSetup paperSize="9" orientation="portrait" r:id="rId25"/>
  <drawing r:id="rId26"/>
  <legacyDrawing r:id="rId27"/>
  <controls>
    <mc:AlternateContent xmlns:mc="http://schemas.openxmlformats.org/markup-compatibility/2006">
      <mc:Choice Requires="x14">
        <control shapeId="4113" r:id="rId28" name="CommandButton17">
          <controlPr defaultSize="0" autoLine="0" r:id="rId29">
            <anchor moveWithCells="1">
              <from>
                <xdr:col>14</xdr:col>
                <xdr:colOff>85725</xdr:colOff>
                <xdr:row>0</xdr:row>
                <xdr:rowOff>28575</xdr:rowOff>
              </from>
              <to>
                <xdr:col>14</xdr:col>
                <xdr:colOff>790575</xdr:colOff>
                <xdr:row>1</xdr:row>
                <xdr:rowOff>0</xdr:rowOff>
              </to>
            </anchor>
          </controlPr>
        </control>
      </mc:Choice>
      <mc:Fallback>
        <control shapeId="4113" r:id="rId28" name="CommandButton17"/>
      </mc:Fallback>
    </mc:AlternateContent>
    <mc:AlternateContent xmlns:mc="http://schemas.openxmlformats.org/markup-compatibility/2006">
      <mc:Choice Requires="x14">
        <control shapeId="4112" r:id="rId30" name="CommandButton16">
          <controlPr defaultSize="0" autoLine="0" r:id="rId31">
            <anchor moveWithCells="1">
              <from>
                <xdr:col>13</xdr:col>
                <xdr:colOff>38100</xdr:colOff>
                <xdr:row>0</xdr:row>
                <xdr:rowOff>19050</xdr:rowOff>
              </from>
              <to>
                <xdr:col>13</xdr:col>
                <xdr:colOff>828675</xdr:colOff>
                <xdr:row>1</xdr:row>
                <xdr:rowOff>0</xdr:rowOff>
              </to>
            </anchor>
          </controlPr>
        </control>
      </mc:Choice>
      <mc:Fallback>
        <control shapeId="4112" r:id="rId30" name="CommandButton16"/>
      </mc:Fallback>
    </mc:AlternateContent>
    <mc:AlternateContent xmlns:mc="http://schemas.openxmlformats.org/markup-compatibility/2006">
      <mc:Choice Requires="x14">
        <control shapeId="4111" r:id="rId32" name="CommandButton15">
          <controlPr defaultSize="0" autoLine="0" r:id="rId33">
            <anchor moveWithCells="1">
              <from>
                <xdr:col>11</xdr:col>
                <xdr:colOff>28575</xdr:colOff>
                <xdr:row>0</xdr:row>
                <xdr:rowOff>9525</xdr:rowOff>
              </from>
              <to>
                <xdr:col>11</xdr:col>
                <xdr:colOff>819150</xdr:colOff>
                <xdr:row>0</xdr:row>
                <xdr:rowOff>419100</xdr:rowOff>
              </to>
            </anchor>
          </controlPr>
        </control>
      </mc:Choice>
      <mc:Fallback>
        <control shapeId="4111" r:id="rId32" name="CommandButton15"/>
      </mc:Fallback>
    </mc:AlternateContent>
    <mc:AlternateContent xmlns:mc="http://schemas.openxmlformats.org/markup-compatibility/2006">
      <mc:Choice Requires="x14">
        <control shapeId="4110" r:id="rId34" name="CommandButton14">
          <controlPr defaultSize="0" autoLine="0" r:id="rId35">
            <anchor moveWithCells="1">
              <from>
                <xdr:col>12</xdr:col>
                <xdr:colOff>0</xdr:colOff>
                <xdr:row>0</xdr:row>
                <xdr:rowOff>9525</xdr:rowOff>
              </from>
              <to>
                <xdr:col>12</xdr:col>
                <xdr:colOff>790575</xdr:colOff>
                <xdr:row>0</xdr:row>
                <xdr:rowOff>419100</xdr:rowOff>
              </to>
            </anchor>
          </controlPr>
        </control>
      </mc:Choice>
      <mc:Fallback>
        <control shapeId="4110" r:id="rId34" name="CommandButton14"/>
      </mc:Fallback>
    </mc:AlternateContent>
    <mc:AlternateContent xmlns:mc="http://schemas.openxmlformats.org/markup-compatibility/2006">
      <mc:Choice Requires="x14">
        <control shapeId="4109" r:id="rId36" name="CommandButton1">
          <controlPr defaultSize="0" autoLine="0" r:id="rId37">
            <anchor moveWithCells="1">
              <from>
                <xdr:col>2</xdr:col>
                <xdr:colOff>38100</xdr:colOff>
                <xdr:row>0</xdr:row>
                <xdr:rowOff>19050</xdr:rowOff>
              </from>
              <to>
                <xdr:col>2</xdr:col>
                <xdr:colOff>828675</xdr:colOff>
                <xdr:row>1</xdr:row>
                <xdr:rowOff>0</xdr:rowOff>
              </to>
            </anchor>
          </controlPr>
        </control>
      </mc:Choice>
      <mc:Fallback>
        <control shapeId="4109" r:id="rId36" name="CommandButton1"/>
      </mc:Fallback>
    </mc:AlternateContent>
    <mc:AlternateContent xmlns:mc="http://schemas.openxmlformats.org/markup-compatibility/2006">
      <mc:Choice Requires="x14">
        <control shapeId="4108" r:id="rId38" name="CommandButton13">
          <controlPr defaultSize="0" autoLine="0" r:id="rId39">
            <anchor moveWithCells="1">
              <from>
                <xdr:col>6</xdr:col>
                <xdr:colOff>38100</xdr:colOff>
                <xdr:row>0</xdr:row>
                <xdr:rowOff>19050</xdr:rowOff>
              </from>
              <to>
                <xdr:col>6</xdr:col>
                <xdr:colOff>828675</xdr:colOff>
                <xdr:row>1</xdr:row>
                <xdr:rowOff>0</xdr:rowOff>
              </to>
            </anchor>
          </controlPr>
        </control>
      </mc:Choice>
      <mc:Fallback>
        <control shapeId="4108" r:id="rId38" name="CommandButton13"/>
      </mc:Fallback>
    </mc:AlternateContent>
    <mc:AlternateContent xmlns:mc="http://schemas.openxmlformats.org/markup-compatibility/2006">
      <mc:Choice Requires="x14">
        <control shapeId="4107" r:id="rId40" name="CommandButton12">
          <controlPr defaultSize="0" autoLine="0" r:id="rId41">
            <anchor moveWithCells="1">
              <from>
                <xdr:col>0</xdr:col>
                <xdr:colOff>19050</xdr:colOff>
                <xdr:row>0</xdr:row>
                <xdr:rowOff>0</xdr:rowOff>
              </from>
              <to>
                <xdr:col>0</xdr:col>
                <xdr:colOff>714375</xdr:colOff>
                <xdr:row>0</xdr:row>
                <xdr:rowOff>409575</xdr:rowOff>
              </to>
            </anchor>
          </controlPr>
        </control>
      </mc:Choice>
      <mc:Fallback>
        <control shapeId="4107" r:id="rId40" name="CommandButton12"/>
      </mc:Fallback>
    </mc:AlternateContent>
    <mc:AlternateContent xmlns:mc="http://schemas.openxmlformats.org/markup-compatibility/2006">
      <mc:Choice Requires="x14">
        <control shapeId="4106" r:id="rId42" name="CommandButton11">
          <controlPr defaultSize="0" autoLine="0" r:id="rId43">
            <anchor moveWithCells="1">
              <from>
                <xdr:col>10</xdr:col>
                <xdr:colOff>19050</xdr:colOff>
                <xdr:row>0</xdr:row>
                <xdr:rowOff>9525</xdr:rowOff>
              </from>
              <to>
                <xdr:col>11</xdr:col>
                <xdr:colOff>19050</xdr:colOff>
                <xdr:row>0</xdr:row>
                <xdr:rowOff>419100</xdr:rowOff>
              </to>
            </anchor>
          </controlPr>
        </control>
      </mc:Choice>
      <mc:Fallback>
        <control shapeId="4106" r:id="rId42" name="CommandButton11"/>
      </mc:Fallback>
    </mc:AlternateContent>
    <mc:AlternateContent xmlns:mc="http://schemas.openxmlformats.org/markup-compatibility/2006">
      <mc:Choice Requires="x14">
        <control shapeId="4105" r:id="rId44" name="CommandButton10">
          <controlPr defaultSize="0" autoLine="0" r:id="rId45">
            <anchor moveWithCells="1">
              <from>
                <xdr:col>9</xdr:col>
                <xdr:colOff>9525</xdr:colOff>
                <xdr:row>0</xdr:row>
                <xdr:rowOff>9525</xdr:rowOff>
              </from>
              <to>
                <xdr:col>9</xdr:col>
                <xdr:colOff>809625</xdr:colOff>
                <xdr:row>0</xdr:row>
                <xdr:rowOff>419100</xdr:rowOff>
              </to>
            </anchor>
          </controlPr>
        </control>
      </mc:Choice>
      <mc:Fallback>
        <control shapeId="4105" r:id="rId44" name="CommandButton10"/>
      </mc:Fallback>
    </mc:AlternateContent>
    <mc:AlternateContent xmlns:mc="http://schemas.openxmlformats.org/markup-compatibility/2006">
      <mc:Choice Requires="x14">
        <control shapeId="4104" r:id="rId46" name="CommandButton9">
          <controlPr defaultSize="0" autoLine="0" r:id="rId47">
            <anchor moveWithCells="1">
              <from>
                <xdr:col>8</xdr:col>
                <xdr:colOff>28575</xdr:colOff>
                <xdr:row>0</xdr:row>
                <xdr:rowOff>9525</xdr:rowOff>
              </from>
              <to>
                <xdr:col>8</xdr:col>
                <xdr:colOff>828675</xdr:colOff>
                <xdr:row>0</xdr:row>
                <xdr:rowOff>419100</xdr:rowOff>
              </to>
            </anchor>
          </controlPr>
        </control>
      </mc:Choice>
      <mc:Fallback>
        <control shapeId="4104" r:id="rId46" name="CommandButton9"/>
      </mc:Fallback>
    </mc:AlternateContent>
    <mc:AlternateContent xmlns:mc="http://schemas.openxmlformats.org/markup-compatibility/2006">
      <mc:Choice Requires="x14">
        <control shapeId="4100" r:id="rId48" name="CommandButton5">
          <controlPr defaultSize="0" autoLine="0" r:id="rId49">
            <anchor moveWithCells="1">
              <from>
                <xdr:col>7</xdr:col>
                <xdr:colOff>47625</xdr:colOff>
                <xdr:row>0</xdr:row>
                <xdr:rowOff>19050</xdr:rowOff>
              </from>
              <to>
                <xdr:col>8</xdr:col>
                <xdr:colOff>9525</xdr:colOff>
                <xdr:row>1</xdr:row>
                <xdr:rowOff>0</xdr:rowOff>
              </to>
            </anchor>
          </controlPr>
        </control>
      </mc:Choice>
      <mc:Fallback>
        <control shapeId="4100" r:id="rId48" name="CommandButton5"/>
      </mc:Fallback>
    </mc:AlternateContent>
    <mc:AlternateContent xmlns:mc="http://schemas.openxmlformats.org/markup-compatibility/2006">
      <mc:Choice Requires="x14">
        <control shapeId="4099" r:id="rId50" name="CommandButton4">
          <controlPr defaultSize="0" autoLine="0" autoPict="0" r:id="rId51">
            <anchor moveWithCells="1">
              <from>
                <xdr:col>5</xdr:col>
                <xdr:colOff>38100</xdr:colOff>
                <xdr:row>0</xdr:row>
                <xdr:rowOff>19050</xdr:rowOff>
              </from>
              <to>
                <xdr:col>5</xdr:col>
                <xdr:colOff>971550</xdr:colOff>
                <xdr:row>1</xdr:row>
                <xdr:rowOff>0</xdr:rowOff>
              </to>
            </anchor>
          </controlPr>
        </control>
      </mc:Choice>
      <mc:Fallback>
        <control shapeId="4099" r:id="rId50" name="CommandButton4"/>
      </mc:Fallback>
    </mc:AlternateContent>
    <mc:AlternateContent xmlns:mc="http://schemas.openxmlformats.org/markup-compatibility/2006">
      <mc:Choice Requires="x14">
        <control shapeId="4098" r:id="rId52" name="CommandButton3">
          <controlPr defaultSize="0" autoLine="0" r:id="rId53">
            <anchor moveWithCells="1">
              <from>
                <xdr:col>4</xdr:col>
                <xdr:colOff>38100</xdr:colOff>
                <xdr:row>0</xdr:row>
                <xdr:rowOff>19050</xdr:rowOff>
              </from>
              <to>
                <xdr:col>4</xdr:col>
                <xdr:colOff>828675</xdr:colOff>
                <xdr:row>1</xdr:row>
                <xdr:rowOff>0</xdr:rowOff>
              </to>
            </anchor>
          </controlPr>
        </control>
      </mc:Choice>
      <mc:Fallback>
        <control shapeId="4098" r:id="rId52" name="CommandButton3"/>
      </mc:Fallback>
    </mc:AlternateContent>
    <mc:AlternateContent xmlns:mc="http://schemas.openxmlformats.org/markup-compatibility/2006">
      <mc:Choice Requires="x14">
        <control shapeId="4097" r:id="rId54" name="CommandButton2">
          <controlPr defaultSize="0" autoLine="0" r:id="rId55">
            <anchor moveWithCells="1">
              <from>
                <xdr:col>3</xdr:col>
                <xdr:colOff>38100</xdr:colOff>
                <xdr:row>0</xdr:row>
                <xdr:rowOff>19050</xdr:rowOff>
              </from>
              <to>
                <xdr:col>3</xdr:col>
                <xdr:colOff>828675</xdr:colOff>
                <xdr:row>1</xdr:row>
                <xdr:rowOff>0</xdr:rowOff>
              </to>
            </anchor>
          </controlPr>
        </control>
      </mc:Choice>
      <mc:Fallback>
        <control shapeId="4097" r:id="rId54" name="Command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5"/>
  <sheetViews>
    <sheetView zoomScaleNormal="100" workbookViewId="0">
      <pane xSplit="16" ySplit="1" topLeftCell="Q2" activePane="bottomRight" state="frozen"/>
      <selection pane="topRight" activeCell="Q1" sqref="Q1"/>
      <selection pane="bottomLeft" activeCell="A2" sqref="A2"/>
      <selection pane="bottomRight" activeCell="U10" sqref="U10"/>
    </sheetView>
  </sheetViews>
  <sheetFormatPr defaultColWidth="9" defaultRowHeight="16.5"/>
  <cols>
    <col min="1" max="1" width="1.75" style="3" customWidth="1"/>
    <col min="2" max="2" width="11.125" style="3" customWidth="1"/>
    <col min="3" max="3" width="12.875" style="81" customWidth="1"/>
    <col min="4" max="4" width="12.125" style="3" customWidth="1"/>
    <col min="5" max="5" width="12.875" style="81" customWidth="1"/>
    <col min="6" max="6" width="12.125" style="3" customWidth="1"/>
    <col min="7" max="7" width="12.875" style="81" customWidth="1"/>
    <col min="8" max="8" width="9" style="3"/>
    <col min="9" max="9" width="1.375" style="3" customWidth="1"/>
    <col min="10" max="10" width="9" style="3"/>
    <col min="11" max="15" width="12.875" style="3" customWidth="1"/>
    <col min="16" max="16" width="10.5" style="3" customWidth="1"/>
    <col min="17" max="17" width="0.875" style="3" customWidth="1"/>
    <col min="18" max="21" width="9" style="3" customWidth="1"/>
    <col min="22" max="22" width="5.75" style="3" customWidth="1"/>
    <col min="23" max="16384" width="9" style="3"/>
  </cols>
  <sheetData>
    <row r="1" spans="1:22" s="71" customFormat="1" ht="28.5" customHeight="1" thickBot="1">
      <c r="A1" s="69"/>
      <c r="B1" s="69"/>
      <c r="C1" s="70" t="s">
        <v>2491</v>
      </c>
      <c r="D1" s="69"/>
      <c r="E1" s="70" t="s">
        <v>2492</v>
      </c>
      <c r="F1" s="69"/>
      <c r="G1" s="70" t="s">
        <v>2485</v>
      </c>
      <c r="R1" s="261" t="s">
        <v>2476</v>
      </c>
      <c r="S1" s="262"/>
      <c r="T1" s="262"/>
      <c r="U1" s="262"/>
      <c r="V1" s="263"/>
    </row>
    <row r="2" spans="1:22" s="71" customFormat="1" ht="9.75" customHeight="1">
      <c r="A2" s="72"/>
      <c r="B2" s="72"/>
      <c r="C2" s="73"/>
      <c r="D2" s="72"/>
      <c r="E2" s="74"/>
      <c r="F2" s="72"/>
      <c r="G2" s="75"/>
      <c r="H2" s="72"/>
      <c r="I2" s="72"/>
      <c r="J2" s="72"/>
      <c r="K2" s="72"/>
      <c r="L2" s="72"/>
      <c r="M2" s="72"/>
      <c r="N2" s="72"/>
      <c r="O2" s="72"/>
      <c r="P2" s="72"/>
      <c r="R2" s="76"/>
      <c r="S2" s="77"/>
      <c r="T2" s="77"/>
      <c r="U2" s="77"/>
      <c r="V2" s="78"/>
    </row>
    <row r="3" spans="1:22" ht="19.5">
      <c r="A3" s="79"/>
      <c r="B3" s="302" t="s">
        <v>241</v>
      </c>
      <c r="C3" s="302"/>
      <c r="D3" s="302"/>
      <c r="E3" s="302"/>
      <c r="F3" s="302"/>
      <c r="G3" s="302"/>
      <c r="H3" s="302"/>
      <c r="I3" s="79"/>
      <c r="J3" s="302" t="s">
        <v>242</v>
      </c>
      <c r="K3" s="302"/>
      <c r="L3" s="302"/>
      <c r="M3" s="302"/>
      <c r="N3" s="302"/>
      <c r="O3" s="302"/>
      <c r="P3" s="302"/>
      <c r="R3" s="305" t="s">
        <v>2481</v>
      </c>
      <c r="S3" s="306"/>
      <c r="T3" s="203" t="s">
        <v>2482</v>
      </c>
      <c r="U3" s="203" t="s">
        <v>2484</v>
      </c>
      <c r="V3" s="203" t="s">
        <v>2483</v>
      </c>
    </row>
    <row r="4" spans="1:22">
      <c r="A4" s="79"/>
      <c r="B4" s="79"/>
      <c r="C4" s="80"/>
      <c r="D4" s="79"/>
      <c r="E4" s="80"/>
      <c r="F4" s="79"/>
      <c r="G4" s="80"/>
      <c r="H4" s="79"/>
      <c r="I4" s="79"/>
      <c r="J4" s="79"/>
      <c r="K4" s="79"/>
      <c r="L4" s="79"/>
      <c r="M4" s="79"/>
      <c r="N4" s="79"/>
      <c r="O4" s="79"/>
      <c r="P4" s="79"/>
      <c r="R4" s="197">
        <f>IF(C1&lt;&gt;"",PK!A2," ")</f>
        <v>1476</v>
      </c>
      <c r="S4" s="198" t="str">
        <f>LEFT(C1,2)</f>
        <v>儒鴻</v>
      </c>
      <c r="T4" s="204">
        <f>ROUND(PK!L11,2)</f>
        <v>15.59</v>
      </c>
      <c r="U4" s="205">
        <f>VLOOKUP(R4,收盤價!A:C,3,0)</f>
        <v>489.5</v>
      </c>
      <c r="V4" s="206">
        <f>ROUND(U4/T4,2)</f>
        <v>31.4</v>
      </c>
    </row>
    <row r="5" spans="1:22">
      <c r="A5" s="79"/>
      <c r="B5" s="79"/>
      <c r="C5" s="80"/>
      <c r="D5" s="79"/>
      <c r="E5" s="80"/>
      <c r="F5" s="79"/>
      <c r="G5" s="80"/>
      <c r="H5" s="79"/>
      <c r="I5" s="79"/>
      <c r="J5" s="79"/>
      <c r="K5" s="79"/>
      <c r="L5" s="79"/>
      <c r="M5" s="79"/>
      <c r="N5" s="79"/>
      <c r="O5" s="79"/>
      <c r="P5" s="79"/>
      <c r="R5" s="199">
        <f>IF(E1&lt;&gt;"",PK!A3,"")</f>
        <v>1477</v>
      </c>
      <c r="S5" s="200" t="str">
        <f>LEFT(E1,2)</f>
        <v>聚陽</v>
      </c>
      <c r="T5" s="204">
        <f>ROUND(PK!L12,2)</f>
        <v>10.66</v>
      </c>
      <c r="U5" s="205">
        <f>VLOOKUP(R5,收盤價!A:C,3,0)</f>
        <v>246</v>
      </c>
      <c r="V5" s="206">
        <f t="shared" ref="V5" si="0">ROUND(U5/T5,2)</f>
        <v>23.08</v>
      </c>
    </row>
    <row r="6" spans="1:22">
      <c r="A6" s="79"/>
      <c r="B6" s="79"/>
      <c r="C6" s="80"/>
      <c r="D6" s="79"/>
      <c r="E6" s="80"/>
      <c r="F6" s="79"/>
      <c r="G6" s="80"/>
      <c r="H6" s="79"/>
      <c r="I6" s="79"/>
      <c r="J6" s="79"/>
      <c r="K6" s="79"/>
      <c r="L6" s="79"/>
      <c r="M6" s="79"/>
      <c r="N6" s="79"/>
      <c r="O6" s="79"/>
      <c r="P6" s="79"/>
      <c r="R6" s="201">
        <f>PK!A4</f>
        <v>4426</v>
      </c>
      <c r="S6" s="202" t="str">
        <f>LEFT(G1,2)</f>
        <v>利勤</v>
      </c>
      <c r="T6" s="204">
        <f>ROUND(PK!L13,2)</f>
        <v>10.15</v>
      </c>
      <c r="U6" s="205">
        <f>VLOOKUP(R6,收盤價!A:C,3,0)</f>
        <v>186</v>
      </c>
      <c r="V6" s="206">
        <f>ROUND(U6/T6,0)</f>
        <v>18</v>
      </c>
    </row>
    <row r="7" spans="1:22">
      <c r="A7" s="79"/>
      <c r="B7" s="79"/>
      <c r="C7" s="80"/>
      <c r="D7" s="79"/>
      <c r="E7" s="80"/>
      <c r="F7" s="79"/>
      <c r="G7" s="80"/>
      <c r="H7" s="79"/>
      <c r="I7" s="79"/>
      <c r="J7" s="79"/>
      <c r="K7" s="79"/>
      <c r="L7" s="79"/>
      <c r="M7" s="79"/>
      <c r="N7" s="79"/>
      <c r="O7" s="79"/>
      <c r="P7" s="79"/>
      <c r="R7" s="168"/>
      <c r="S7" s="303"/>
      <c r="T7" s="303"/>
      <c r="U7" s="303"/>
      <c r="V7" s="304"/>
    </row>
    <row r="8" spans="1:22">
      <c r="A8" s="79"/>
      <c r="B8" s="79"/>
      <c r="C8" s="80"/>
      <c r="D8" s="79"/>
      <c r="E8" s="80"/>
      <c r="F8" s="79"/>
      <c r="G8" s="80"/>
      <c r="H8" s="79"/>
      <c r="I8" s="79"/>
      <c r="J8" s="79"/>
      <c r="K8" s="79"/>
      <c r="L8" s="79"/>
      <c r="M8" s="79"/>
      <c r="N8" s="79"/>
      <c r="O8" s="79"/>
      <c r="P8" s="79"/>
      <c r="R8" s="168"/>
      <c r="S8" s="169"/>
      <c r="T8" s="169"/>
      <c r="U8" s="169"/>
      <c r="V8" s="170"/>
    </row>
    <row r="9" spans="1:22">
      <c r="A9" s="79"/>
      <c r="B9" s="79"/>
      <c r="C9" s="80"/>
      <c r="D9" s="79"/>
      <c r="E9" s="80"/>
      <c r="F9" s="79"/>
      <c r="G9" s="80"/>
      <c r="H9" s="79"/>
      <c r="I9" s="79"/>
      <c r="J9" s="79"/>
      <c r="K9" s="79"/>
      <c r="L9" s="79"/>
      <c r="M9" s="79"/>
      <c r="N9" s="79"/>
      <c r="O9" s="79"/>
      <c r="P9" s="79"/>
      <c r="R9" s="168"/>
      <c r="S9" s="169"/>
      <c r="T9" s="169"/>
      <c r="U9" s="169"/>
      <c r="V9" s="170"/>
    </row>
    <row r="10" spans="1:22">
      <c r="A10" s="79"/>
      <c r="B10" s="79"/>
      <c r="C10" s="80"/>
      <c r="D10" s="79"/>
      <c r="E10" s="80"/>
      <c r="F10" s="79"/>
      <c r="G10" s="80"/>
      <c r="H10" s="79"/>
      <c r="I10" s="79"/>
      <c r="J10" s="79"/>
      <c r="K10" s="79"/>
      <c r="L10" s="79"/>
      <c r="M10" s="79"/>
      <c r="N10" s="79"/>
      <c r="O10" s="79"/>
      <c r="P10" s="79"/>
      <c r="R10" s="168"/>
      <c r="S10" s="169"/>
      <c r="T10" s="169"/>
      <c r="U10" s="169"/>
      <c r="V10" s="170"/>
    </row>
    <row r="11" spans="1:22">
      <c r="A11" s="79"/>
      <c r="B11" s="79"/>
      <c r="C11" s="80"/>
      <c r="D11" s="79"/>
      <c r="E11" s="80"/>
      <c r="F11" s="79"/>
      <c r="G11" s="80"/>
      <c r="H11" s="79"/>
      <c r="I11" s="79"/>
      <c r="J11" s="79"/>
      <c r="K11" s="79"/>
      <c r="L11" s="79"/>
      <c r="M11" s="79"/>
      <c r="N11" s="79"/>
      <c r="O11" s="79"/>
      <c r="P11" s="79"/>
      <c r="R11" s="168"/>
      <c r="S11" s="169"/>
      <c r="T11" s="169"/>
      <c r="U11" s="169"/>
      <c r="V11" s="170"/>
    </row>
    <row r="12" spans="1:22" ht="17.25" thickBot="1">
      <c r="A12" s="79"/>
      <c r="B12" s="79"/>
      <c r="C12" s="80"/>
      <c r="D12" s="79"/>
      <c r="E12" s="80"/>
      <c r="F12" s="79"/>
      <c r="G12" s="80"/>
      <c r="H12" s="79"/>
      <c r="I12" s="79"/>
      <c r="J12" s="79"/>
      <c r="K12" s="79"/>
      <c r="L12" s="79"/>
      <c r="M12" s="79"/>
      <c r="N12" s="79"/>
      <c r="O12" s="79"/>
      <c r="P12" s="79"/>
      <c r="R12" s="171"/>
      <c r="S12" s="172"/>
      <c r="T12" s="172"/>
      <c r="U12" s="172"/>
      <c r="V12" s="173"/>
    </row>
    <row r="13" spans="1:22" ht="17.25" thickBot="1">
      <c r="A13" s="79"/>
      <c r="B13" s="79"/>
      <c r="C13" s="80"/>
      <c r="D13" s="79"/>
      <c r="E13" s="80"/>
      <c r="F13" s="79"/>
      <c r="G13" s="80"/>
      <c r="H13" s="79"/>
      <c r="I13" s="79"/>
      <c r="J13" s="79"/>
      <c r="K13" s="79"/>
      <c r="L13" s="79"/>
      <c r="M13" s="79"/>
      <c r="N13" s="79"/>
      <c r="O13" s="79"/>
      <c r="P13" s="79"/>
      <c r="R13" s="79"/>
      <c r="S13" s="79"/>
      <c r="T13" s="79"/>
      <c r="U13" s="79"/>
      <c r="V13" s="79"/>
    </row>
    <row r="14" spans="1:22" ht="19.5">
      <c r="A14" s="79"/>
      <c r="B14" s="302" t="s">
        <v>2478</v>
      </c>
      <c r="C14" s="302"/>
      <c r="D14" s="302"/>
      <c r="E14" s="302"/>
      <c r="F14" s="302"/>
      <c r="G14" s="302"/>
      <c r="H14" s="302"/>
      <c r="I14" s="79"/>
      <c r="J14" s="302" t="s">
        <v>243</v>
      </c>
      <c r="K14" s="302"/>
      <c r="L14" s="302"/>
      <c r="M14" s="302"/>
      <c r="N14" s="302"/>
      <c r="O14" s="302"/>
      <c r="P14" s="302"/>
      <c r="R14" s="174"/>
      <c r="S14" s="175"/>
      <c r="T14" s="175"/>
      <c r="U14" s="175"/>
      <c r="V14" s="176"/>
    </row>
    <row r="15" spans="1:22">
      <c r="A15" s="79"/>
      <c r="B15" s="79"/>
      <c r="C15" s="80"/>
      <c r="D15" s="79"/>
      <c r="E15" s="80"/>
      <c r="F15" s="79"/>
      <c r="G15" s="80"/>
      <c r="H15" s="79"/>
      <c r="I15" s="79"/>
      <c r="J15" s="79"/>
      <c r="K15" s="79"/>
      <c r="L15" s="79"/>
      <c r="M15" s="79"/>
      <c r="N15" s="79"/>
      <c r="O15" s="79"/>
      <c r="P15" s="79"/>
      <c r="R15" s="168"/>
      <c r="S15" s="169"/>
      <c r="T15" s="169"/>
      <c r="U15" s="169"/>
      <c r="V15" s="170"/>
    </row>
    <row r="16" spans="1:22">
      <c r="A16" s="79"/>
      <c r="B16" s="79"/>
      <c r="C16" s="80"/>
      <c r="D16" s="79"/>
      <c r="E16" s="80"/>
      <c r="F16" s="79"/>
      <c r="G16" s="80"/>
      <c r="H16" s="79"/>
      <c r="I16" s="79"/>
      <c r="J16" s="79"/>
      <c r="K16" s="79"/>
      <c r="L16" s="79"/>
      <c r="M16" s="79"/>
      <c r="N16" s="79"/>
      <c r="O16" s="79"/>
      <c r="P16" s="79"/>
      <c r="R16" s="168"/>
      <c r="S16" s="169"/>
      <c r="T16" s="169"/>
      <c r="U16" s="169"/>
      <c r="V16" s="170"/>
    </row>
    <row r="17" spans="1:22">
      <c r="A17" s="79"/>
      <c r="B17" s="79"/>
      <c r="C17" s="80"/>
      <c r="D17" s="79"/>
      <c r="E17" s="80"/>
      <c r="F17" s="79"/>
      <c r="G17" s="80"/>
      <c r="H17" s="79"/>
      <c r="I17" s="79"/>
      <c r="J17" s="79"/>
      <c r="K17" s="79"/>
      <c r="L17" s="79"/>
      <c r="M17" s="79"/>
      <c r="N17" s="79"/>
      <c r="O17" s="79"/>
      <c r="P17" s="79"/>
      <c r="R17" s="168"/>
      <c r="S17" s="169"/>
      <c r="T17" s="169"/>
      <c r="U17" s="169"/>
      <c r="V17" s="170"/>
    </row>
    <row r="18" spans="1:22">
      <c r="A18" s="79"/>
      <c r="B18" s="79"/>
      <c r="C18" s="80"/>
      <c r="D18" s="79"/>
      <c r="E18" s="80"/>
      <c r="F18" s="79"/>
      <c r="G18" s="80"/>
      <c r="H18" s="79"/>
      <c r="I18" s="79"/>
      <c r="J18" s="79"/>
      <c r="K18" s="79"/>
      <c r="L18" s="79"/>
      <c r="M18" s="79"/>
      <c r="N18" s="79"/>
      <c r="O18" s="79"/>
      <c r="P18" s="79"/>
      <c r="R18" s="168"/>
      <c r="S18" s="169"/>
      <c r="T18" s="169"/>
      <c r="U18" s="169"/>
      <c r="V18" s="170"/>
    </row>
    <row r="19" spans="1:22">
      <c r="A19" s="79"/>
      <c r="B19" s="79"/>
      <c r="C19" s="80"/>
      <c r="D19" s="79"/>
      <c r="E19" s="80"/>
      <c r="F19" s="79"/>
      <c r="G19" s="80"/>
      <c r="H19" s="79"/>
      <c r="I19" s="79"/>
      <c r="J19" s="79"/>
      <c r="K19" s="79"/>
      <c r="L19" s="79"/>
      <c r="M19" s="79"/>
      <c r="N19" s="79"/>
      <c r="O19" s="79"/>
      <c r="P19" s="79"/>
      <c r="R19" s="168"/>
      <c r="S19" s="169"/>
      <c r="T19" s="169"/>
      <c r="U19" s="169"/>
      <c r="V19" s="170"/>
    </row>
    <row r="20" spans="1:22">
      <c r="A20" s="79"/>
      <c r="B20" s="79"/>
      <c r="C20" s="80"/>
      <c r="D20" s="79"/>
      <c r="E20" s="80"/>
      <c r="F20" s="79"/>
      <c r="G20" s="80"/>
      <c r="H20" s="79"/>
      <c r="I20" s="79"/>
      <c r="J20" s="79"/>
      <c r="K20" s="79"/>
      <c r="L20" s="79"/>
      <c r="M20" s="79"/>
      <c r="N20" s="79"/>
      <c r="O20" s="79"/>
      <c r="P20" s="79"/>
      <c r="R20" s="168"/>
      <c r="S20" s="169"/>
      <c r="T20" s="169"/>
      <c r="U20" s="169"/>
      <c r="V20" s="170"/>
    </row>
    <row r="21" spans="1:22">
      <c r="A21" s="79"/>
      <c r="B21" s="79"/>
      <c r="C21" s="80"/>
      <c r="D21" s="79"/>
      <c r="E21" s="80"/>
      <c r="F21" s="79"/>
      <c r="G21" s="80"/>
      <c r="H21" s="79"/>
      <c r="I21" s="79"/>
      <c r="J21" s="79"/>
      <c r="K21" s="79"/>
      <c r="L21" s="79"/>
      <c r="M21" s="79"/>
      <c r="N21" s="79"/>
      <c r="O21" s="79"/>
      <c r="P21" s="79"/>
      <c r="R21" s="168"/>
      <c r="S21" s="169"/>
      <c r="T21" s="169"/>
      <c r="U21" s="169"/>
      <c r="V21" s="170"/>
    </row>
    <row r="22" spans="1:22">
      <c r="A22" s="79"/>
      <c r="B22" s="79"/>
      <c r="C22" s="80"/>
      <c r="D22" s="79"/>
      <c r="E22" s="80"/>
      <c r="F22" s="79"/>
      <c r="G22" s="80"/>
      <c r="H22" s="79"/>
      <c r="I22" s="79"/>
      <c r="J22" s="79"/>
      <c r="K22" s="79"/>
      <c r="L22" s="79"/>
      <c r="M22" s="79"/>
      <c r="N22" s="79"/>
      <c r="O22" s="79"/>
      <c r="P22" s="79"/>
      <c r="R22" s="168"/>
      <c r="S22" s="169"/>
      <c r="T22" s="169"/>
      <c r="U22" s="169"/>
      <c r="V22" s="170"/>
    </row>
    <row r="23" spans="1:22">
      <c r="A23" s="79"/>
      <c r="B23" s="79"/>
      <c r="C23" s="80"/>
      <c r="D23" s="79"/>
      <c r="E23" s="80"/>
      <c r="F23" s="79"/>
      <c r="G23" s="80"/>
      <c r="H23" s="79"/>
      <c r="I23" s="79"/>
      <c r="J23" s="79"/>
      <c r="K23" s="79"/>
      <c r="L23" s="79"/>
      <c r="M23" s="79"/>
      <c r="N23" s="79"/>
      <c r="O23" s="79"/>
      <c r="P23" s="79"/>
      <c r="R23" s="168"/>
      <c r="S23" s="169"/>
      <c r="T23" s="169"/>
      <c r="U23" s="169"/>
      <c r="V23" s="170"/>
    </row>
    <row r="24" spans="1:22">
      <c r="A24" s="79"/>
      <c r="B24" s="79"/>
      <c r="C24" s="80"/>
      <c r="D24" s="79"/>
      <c r="E24" s="80"/>
      <c r="F24" s="79"/>
      <c r="G24" s="80"/>
      <c r="H24" s="79"/>
      <c r="I24" s="79"/>
      <c r="J24" s="79"/>
      <c r="K24" s="79"/>
      <c r="L24" s="79"/>
      <c r="M24" s="79"/>
      <c r="N24" s="79"/>
      <c r="O24" s="79"/>
      <c r="P24" s="79"/>
      <c r="R24" s="168"/>
      <c r="S24" s="169"/>
      <c r="T24" s="169"/>
      <c r="U24" s="169"/>
      <c r="V24" s="170"/>
    </row>
    <row r="25" spans="1:22" ht="19.5">
      <c r="A25" s="79"/>
      <c r="B25" s="302" t="s">
        <v>2477</v>
      </c>
      <c r="C25" s="302"/>
      <c r="D25" s="302"/>
      <c r="E25" s="302"/>
      <c r="F25" s="302"/>
      <c r="G25" s="302"/>
      <c r="H25" s="302"/>
      <c r="I25" s="79"/>
      <c r="J25" s="302" t="s">
        <v>2480</v>
      </c>
      <c r="K25" s="302"/>
      <c r="L25" s="302"/>
      <c r="M25" s="302"/>
      <c r="N25" s="302"/>
      <c r="O25" s="302"/>
      <c r="P25" s="302"/>
      <c r="R25" s="76"/>
      <c r="S25" s="77"/>
      <c r="T25" s="77"/>
      <c r="U25" s="77"/>
      <c r="V25" s="78"/>
    </row>
    <row r="26" spans="1:22">
      <c r="A26" s="79"/>
      <c r="B26" s="79"/>
      <c r="C26" s="80"/>
      <c r="D26" s="79"/>
      <c r="E26" s="80"/>
      <c r="F26" s="79"/>
      <c r="G26" s="80"/>
      <c r="H26" s="79"/>
      <c r="I26" s="79"/>
      <c r="J26" s="79"/>
      <c r="K26" s="79"/>
      <c r="L26" s="79"/>
      <c r="M26" s="79"/>
      <c r="N26" s="79"/>
      <c r="O26" s="79"/>
      <c r="P26" s="79"/>
      <c r="R26" s="76"/>
      <c r="S26" s="177"/>
      <c r="T26" s="77"/>
      <c r="U26" s="177"/>
      <c r="V26" s="78"/>
    </row>
    <row r="27" spans="1:22">
      <c r="A27" s="79"/>
      <c r="B27" s="79"/>
      <c r="C27" s="80"/>
      <c r="D27" s="79"/>
      <c r="E27" s="80"/>
      <c r="F27" s="79"/>
      <c r="G27" s="80"/>
      <c r="H27" s="79"/>
      <c r="I27" s="79"/>
      <c r="J27" s="79"/>
      <c r="K27" s="79"/>
      <c r="L27" s="79"/>
      <c r="M27" s="79"/>
      <c r="N27" s="79"/>
      <c r="O27" s="79"/>
      <c r="P27" s="79"/>
      <c r="R27" s="76"/>
      <c r="S27" s="77"/>
      <c r="T27" s="77"/>
      <c r="U27" s="77"/>
      <c r="V27" s="78"/>
    </row>
    <row r="28" spans="1:22">
      <c r="A28" s="79"/>
      <c r="B28" s="79"/>
      <c r="C28" s="80"/>
      <c r="D28" s="79"/>
      <c r="E28" s="80"/>
      <c r="F28" s="79"/>
      <c r="G28" s="80"/>
      <c r="H28" s="79"/>
      <c r="I28" s="79"/>
      <c r="J28" s="79"/>
      <c r="K28" s="79"/>
      <c r="L28" s="79"/>
      <c r="M28" s="79"/>
      <c r="N28" s="79"/>
      <c r="O28" s="79"/>
      <c r="P28" s="79"/>
      <c r="R28" s="76"/>
      <c r="S28" s="77"/>
      <c r="T28" s="77"/>
      <c r="U28" s="77"/>
      <c r="V28" s="78"/>
    </row>
    <row r="29" spans="1:22">
      <c r="A29" s="79"/>
      <c r="B29" s="79"/>
      <c r="C29" s="80"/>
      <c r="D29" s="79"/>
      <c r="E29" s="80"/>
      <c r="F29" s="79"/>
      <c r="G29" s="80"/>
      <c r="H29" s="79"/>
      <c r="I29" s="79"/>
      <c r="J29" s="79"/>
      <c r="K29" s="79"/>
      <c r="L29" s="79"/>
      <c r="M29" s="79"/>
      <c r="N29" s="79"/>
      <c r="O29" s="79"/>
      <c r="P29" s="79"/>
      <c r="R29" s="76"/>
      <c r="S29" s="77"/>
      <c r="T29" s="77"/>
      <c r="U29" s="77"/>
      <c r="V29" s="78"/>
    </row>
    <row r="30" spans="1:22">
      <c r="A30" s="79"/>
      <c r="B30" s="79"/>
      <c r="C30" s="80"/>
      <c r="D30" s="79"/>
      <c r="E30" s="80"/>
      <c r="F30" s="79"/>
      <c r="G30" s="80"/>
      <c r="H30" s="79"/>
      <c r="I30" s="79"/>
      <c r="J30" s="79"/>
      <c r="K30" s="79"/>
      <c r="L30" s="79"/>
      <c r="M30" s="79"/>
      <c r="N30" s="79"/>
      <c r="O30" s="79"/>
      <c r="P30" s="79"/>
      <c r="R30" s="76"/>
      <c r="S30" s="77"/>
      <c r="T30" s="77"/>
      <c r="U30" s="77"/>
      <c r="V30" s="78"/>
    </row>
    <row r="31" spans="1:22">
      <c r="A31" s="79"/>
      <c r="B31" s="79"/>
      <c r="C31" s="80"/>
      <c r="D31" s="79"/>
      <c r="E31" s="80"/>
      <c r="F31" s="79"/>
      <c r="G31" s="80"/>
      <c r="H31" s="79"/>
      <c r="I31" s="79"/>
      <c r="J31" s="79"/>
      <c r="K31" s="79"/>
      <c r="L31" s="79"/>
      <c r="M31" s="79"/>
      <c r="N31" s="79"/>
      <c r="O31" s="79"/>
      <c r="P31" s="79"/>
      <c r="R31" s="76"/>
      <c r="S31" s="77"/>
      <c r="T31" s="77"/>
      <c r="U31" s="77"/>
      <c r="V31" s="78"/>
    </row>
    <row r="32" spans="1:22">
      <c r="A32" s="79"/>
      <c r="B32" s="79"/>
      <c r="C32" s="80"/>
      <c r="D32" s="79"/>
      <c r="E32" s="80"/>
      <c r="F32" s="79"/>
      <c r="G32" s="80"/>
      <c r="H32" s="79"/>
      <c r="I32" s="79"/>
      <c r="J32" s="79"/>
      <c r="K32" s="79"/>
      <c r="L32" s="79"/>
      <c r="M32" s="79"/>
      <c r="N32" s="79"/>
      <c r="O32" s="79"/>
      <c r="P32" s="79"/>
      <c r="R32" s="76"/>
      <c r="S32" s="77"/>
      <c r="T32" s="77"/>
      <c r="U32" s="77"/>
      <c r="V32" s="78"/>
    </row>
    <row r="33" spans="1:22">
      <c r="A33" s="79"/>
      <c r="B33" s="79"/>
      <c r="C33" s="80"/>
      <c r="D33" s="79"/>
      <c r="E33" s="80"/>
      <c r="F33" s="79"/>
      <c r="G33" s="80"/>
      <c r="H33" s="79"/>
      <c r="I33" s="79"/>
      <c r="J33" s="79"/>
      <c r="K33" s="79"/>
      <c r="L33" s="79"/>
      <c r="M33" s="79"/>
      <c r="N33" s="79"/>
      <c r="O33" s="79"/>
      <c r="P33" s="79"/>
      <c r="R33" s="76"/>
      <c r="S33" s="77"/>
      <c r="T33" s="77"/>
      <c r="U33" s="77"/>
      <c r="V33" s="78"/>
    </row>
    <row r="34" spans="1:22">
      <c r="A34" s="79"/>
      <c r="B34" s="79"/>
      <c r="C34" s="80"/>
      <c r="D34" s="79"/>
      <c r="E34" s="80"/>
      <c r="F34" s="79"/>
      <c r="G34" s="80"/>
      <c r="H34" s="79"/>
      <c r="I34" s="79"/>
      <c r="J34" s="79"/>
      <c r="K34" s="79"/>
      <c r="L34" s="79"/>
      <c r="M34" s="79"/>
      <c r="N34" s="79"/>
      <c r="O34" s="79"/>
      <c r="P34" s="79"/>
      <c r="R34" s="76"/>
      <c r="S34" s="77"/>
      <c r="T34" s="77"/>
      <c r="U34" s="77"/>
      <c r="V34" s="78"/>
    </row>
    <row r="35" spans="1:22" ht="17.25" thickBot="1">
      <c r="A35" s="79"/>
      <c r="B35" s="79"/>
      <c r="C35" s="80"/>
      <c r="D35" s="79"/>
      <c r="E35" s="80"/>
      <c r="F35" s="79"/>
      <c r="G35" s="80"/>
      <c r="H35" s="79"/>
      <c r="I35" s="79"/>
      <c r="J35" s="79"/>
      <c r="K35" s="79"/>
      <c r="L35" s="79"/>
      <c r="M35" s="79"/>
      <c r="N35" s="79"/>
      <c r="O35" s="79"/>
      <c r="P35" s="79"/>
      <c r="R35" s="165"/>
      <c r="S35" s="166"/>
      <c r="T35" s="166"/>
      <c r="U35" s="166"/>
      <c r="V35" s="167"/>
    </row>
  </sheetData>
  <mergeCells count="10">
    <mergeCell ref="B14:H14"/>
    <mergeCell ref="J14:P14"/>
    <mergeCell ref="B25:H25"/>
    <mergeCell ref="J25:P25"/>
    <mergeCell ref="R1:V1"/>
    <mergeCell ref="B3:H3"/>
    <mergeCell ref="J3:P3"/>
    <mergeCell ref="U7:V7"/>
    <mergeCell ref="S7:T7"/>
    <mergeCell ref="R3:S3"/>
  </mergeCells>
  <phoneticPr fontId="2" type="noConversion"/>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78" r:id="rId4" name="CommandButton7">
          <controlPr defaultSize="0" autoLine="0" r:id="rId5">
            <anchor moveWithCells="1">
              <from>
                <xdr:col>9</xdr:col>
                <xdr:colOff>38100</xdr:colOff>
                <xdr:row>0</xdr:row>
                <xdr:rowOff>38100</xdr:rowOff>
              </from>
              <to>
                <xdr:col>10</xdr:col>
                <xdr:colOff>561975</xdr:colOff>
                <xdr:row>0</xdr:row>
                <xdr:rowOff>342900</xdr:rowOff>
              </to>
            </anchor>
          </controlPr>
        </control>
      </mc:Choice>
      <mc:Fallback>
        <control shapeId="7178" r:id="rId4" name="CommandButton7"/>
      </mc:Fallback>
    </mc:AlternateContent>
    <mc:AlternateContent xmlns:mc="http://schemas.openxmlformats.org/markup-compatibility/2006">
      <mc:Choice Requires="x14">
        <control shapeId="7176" r:id="rId6" name="CommandButton5">
          <controlPr defaultSize="0" autoLine="0" r:id="rId7">
            <anchor moveWithCells="1">
              <from>
                <xdr:col>14</xdr:col>
                <xdr:colOff>552450</xdr:colOff>
                <xdr:row>0</xdr:row>
                <xdr:rowOff>38100</xdr:rowOff>
              </from>
              <to>
                <xdr:col>15</xdr:col>
                <xdr:colOff>781050</xdr:colOff>
                <xdr:row>0</xdr:row>
                <xdr:rowOff>342900</xdr:rowOff>
              </to>
            </anchor>
          </controlPr>
        </control>
      </mc:Choice>
      <mc:Fallback>
        <control shapeId="7176" r:id="rId6" name="CommandButton5"/>
      </mc:Fallback>
    </mc:AlternateContent>
    <mc:AlternateContent xmlns:mc="http://schemas.openxmlformats.org/markup-compatibility/2006">
      <mc:Choice Requires="x14">
        <control shapeId="7175" r:id="rId8" name="CommandButton4">
          <controlPr defaultSize="0" autoLine="0" r:id="rId9">
            <anchor moveWithCells="1">
              <from>
                <xdr:col>13</xdr:col>
                <xdr:colOff>276225</xdr:colOff>
                <xdr:row>0</xdr:row>
                <xdr:rowOff>38100</xdr:rowOff>
              </from>
              <to>
                <xdr:col>14</xdr:col>
                <xdr:colOff>504825</xdr:colOff>
                <xdr:row>0</xdr:row>
                <xdr:rowOff>342900</xdr:rowOff>
              </to>
            </anchor>
          </controlPr>
        </control>
      </mc:Choice>
      <mc:Fallback>
        <control shapeId="7175" r:id="rId8" name="CommandButton4"/>
      </mc:Fallback>
    </mc:AlternateContent>
    <mc:AlternateContent xmlns:mc="http://schemas.openxmlformats.org/markup-compatibility/2006">
      <mc:Choice Requires="x14">
        <control shapeId="7174" r:id="rId10" name="CommandButton3">
          <controlPr defaultSize="0" autoLine="0" r:id="rId11">
            <anchor moveWithCells="1">
              <from>
                <xdr:col>12</xdr:col>
                <xdr:colOff>0</xdr:colOff>
                <xdr:row>0</xdr:row>
                <xdr:rowOff>38100</xdr:rowOff>
              </from>
              <to>
                <xdr:col>13</xdr:col>
                <xdr:colOff>228600</xdr:colOff>
                <xdr:row>0</xdr:row>
                <xdr:rowOff>342900</xdr:rowOff>
              </to>
            </anchor>
          </controlPr>
        </control>
      </mc:Choice>
      <mc:Fallback>
        <control shapeId="7174" r:id="rId10" name="CommandButton3"/>
      </mc:Fallback>
    </mc:AlternateContent>
    <mc:AlternateContent xmlns:mc="http://schemas.openxmlformats.org/markup-compatibility/2006">
      <mc:Choice Requires="x14">
        <control shapeId="7173" r:id="rId12" name="CommandButton2">
          <controlPr defaultSize="0" autoLine="0" r:id="rId13">
            <anchor moveWithCells="1">
              <from>
                <xdr:col>10</xdr:col>
                <xdr:colOff>676275</xdr:colOff>
                <xdr:row>0</xdr:row>
                <xdr:rowOff>38100</xdr:rowOff>
              </from>
              <to>
                <xdr:col>11</xdr:col>
                <xdr:colOff>904875</xdr:colOff>
                <xdr:row>0</xdr:row>
                <xdr:rowOff>342900</xdr:rowOff>
              </to>
            </anchor>
          </controlPr>
        </control>
      </mc:Choice>
      <mc:Fallback>
        <control shapeId="7173" r:id="rId12" name="CommandButton2"/>
      </mc:Fallback>
    </mc:AlternateContent>
    <mc:AlternateContent xmlns:mc="http://schemas.openxmlformats.org/markup-compatibility/2006">
      <mc:Choice Requires="x14">
        <control shapeId="7172" r:id="rId14" name="CommandButton1">
          <controlPr defaultSize="0" autoLine="0" autoPict="0" r:id="rId15">
            <anchor moveWithCells="1">
              <from>
                <xdr:col>7</xdr:col>
                <xdr:colOff>9525</xdr:colOff>
                <xdr:row>0</xdr:row>
                <xdr:rowOff>38100</xdr:rowOff>
              </from>
              <to>
                <xdr:col>8</xdr:col>
                <xdr:colOff>9525</xdr:colOff>
                <xdr:row>0</xdr:row>
                <xdr:rowOff>342900</xdr:rowOff>
              </to>
            </anchor>
          </controlPr>
        </control>
      </mc:Choice>
      <mc:Fallback>
        <control shapeId="7172" r:id="rId14" name="CommandButton1"/>
      </mc:Fallback>
    </mc:AlternateContent>
    <mc:AlternateContent xmlns:mc="http://schemas.openxmlformats.org/markup-compatibility/2006">
      <mc:Choice Requires="x14">
        <control shapeId="7171" r:id="rId16" name="ComboBox3">
          <controlPr defaultSize="0" autoLine="0" r:id="rId17">
            <anchor moveWithCells="1">
              <from>
                <xdr:col>5</xdr:col>
                <xdr:colOff>19050</xdr:colOff>
                <xdr:row>0</xdr:row>
                <xdr:rowOff>47625</xdr:rowOff>
              </from>
              <to>
                <xdr:col>5</xdr:col>
                <xdr:colOff>885825</xdr:colOff>
                <xdr:row>1</xdr:row>
                <xdr:rowOff>0</xdr:rowOff>
              </to>
            </anchor>
          </controlPr>
        </control>
      </mc:Choice>
      <mc:Fallback>
        <control shapeId="7171" r:id="rId16" name="ComboBox3"/>
      </mc:Fallback>
    </mc:AlternateContent>
    <mc:AlternateContent xmlns:mc="http://schemas.openxmlformats.org/markup-compatibility/2006">
      <mc:Choice Requires="x14">
        <control shapeId="7170" r:id="rId18" name="ComboBox2">
          <controlPr defaultSize="0" autoLine="0" r:id="rId19">
            <anchor moveWithCells="1">
              <from>
                <xdr:col>3</xdr:col>
                <xdr:colOff>47625</xdr:colOff>
                <xdr:row>0</xdr:row>
                <xdr:rowOff>47625</xdr:rowOff>
              </from>
              <to>
                <xdr:col>3</xdr:col>
                <xdr:colOff>914400</xdr:colOff>
                <xdr:row>1</xdr:row>
                <xdr:rowOff>0</xdr:rowOff>
              </to>
            </anchor>
          </controlPr>
        </control>
      </mc:Choice>
      <mc:Fallback>
        <control shapeId="7170" r:id="rId18" name="ComboBox2"/>
      </mc:Fallback>
    </mc:AlternateContent>
    <mc:AlternateContent xmlns:mc="http://schemas.openxmlformats.org/markup-compatibility/2006">
      <mc:Choice Requires="x14">
        <control shapeId="7169" r:id="rId20" name="ComboBox1">
          <controlPr defaultSize="0" autoLine="0" r:id="rId21">
            <anchor moveWithCells="1">
              <from>
                <xdr:col>1</xdr:col>
                <xdr:colOff>19050</xdr:colOff>
                <xdr:row>0</xdr:row>
                <xdr:rowOff>47625</xdr:rowOff>
              </from>
              <to>
                <xdr:col>2</xdr:col>
                <xdr:colOff>38100</xdr:colOff>
                <xdr:row>1</xdr:row>
                <xdr:rowOff>0</xdr:rowOff>
              </to>
            </anchor>
          </controlPr>
        </control>
      </mc:Choice>
      <mc:Fallback>
        <control shapeId="7169" r:id="rId20" name="Combo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76"/>
  <sheetViews>
    <sheetView workbookViewId="0">
      <pane xSplit="12" ySplit="4" topLeftCell="M5" activePane="bottomRight" state="frozen"/>
      <selection pane="topRight" activeCell="M1" sqref="M1"/>
      <selection pane="bottomLeft" activeCell="A5" sqref="A5"/>
      <selection pane="bottomRight" activeCell="O22" sqref="O22"/>
    </sheetView>
  </sheetViews>
  <sheetFormatPr defaultRowHeight="16.5"/>
  <cols>
    <col min="2" max="2" width="20.5" bestFit="1" customWidth="1"/>
    <col min="3" max="3" width="12.75" bestFit="1" customWidth="1"/>
    <col min="4" max="10" width="11.625" bestFit="1" customWidth="1"/>
    <col min="12" max="12" width="9.5" bestFit="1" customWidth="1"/>
  </cols>
  <sheetData>
    <row r="1" spans="1:12">
      <c r="A1" t="s">
        <v>244</v>
      </c>
      <c r="C1">
        <v>1</v>
      </c>
      <c r="D1">
        <v>2</v>
      </c>
      <c r="E1">
        <v>3</v>
      </c>
      <c r="F1">
        <v>4</v>
      </c>
      <c r="G1">
        <v>5</v>
      </c>
      <c r="H1">
        <v>6</v>
      </c>
      <c r="I1">
        <v>7</v>
      </c>
      <c r="J1">
        <v>8</v>
      </c>
      <c r="K1" t="s">
        <v>245</v>
      </c>
      <c r="L1" t="s">
        <v>245</v>
      </c>
    </row>
    <row r="2" spans="1:12">
      <c r="A2" s="181">
        <v>1476</v>
      </c>
      <c r="B2" s="181" t="s">
        <v>10</v>
      </c>
      <c r="C2" s="181">
        <f>VLOOKUP("營業收入淨額",PKA!$B$1:$L$500,9,0)</f>
        <v>4959</v>
      </c>
      <c r="D2" s="181">
        <f>VLOOKUP("營業收入淨額",PKA!$B$1:$L$500,8,0)</f>
        <v>5378</v>
      </c>
      <c r="E2" s="181">
        <f>VLOOKUP("營業收入淨額",PKA!$B$1:$L$500,7,0)</f>
        <v>4478</v>
      </c>
      <c r="F2" s="181">
        <f>VLOOKUP("營業收入淨額",PKA!$B$1:$L$500,6,0)</f>
        <v>4886</v>
      </c>
      <c r="G2" s="181">
        <f>VLOOKUP("營業收入淨額",PKA!$B$1:$L$500,5,0)</f>
        <v>5697</v>
      </c>
      <c r="H2" s="181">
        <f>VLOOKUP("營業收入淨額",PKA!$B$1:$L$500,4,0)</f>
        <v>5781</v>
      </c>
      <c r="I2" s="181">
        <f>VLOOKUP("營業收入淨額",PKA!$B$1:$L$500,3,0)</f>
        <v>4928</v>
      </c>
      <c r="J2" s="181">
        <f>VLOOKUP("營業收入淨額",PKA!$B$1:$L$500,2,0)</f>
        <v>6498</v>
      </c>
      <c r="K2" s="181">
        <f>IF(ISNA(C4),MIN(C2:J3),MIN(C2:J4))</f>
        <v>282</v>
      </c>
      <c r="L2" s="181">
        <f>IF(ISNA(C4),MAX(C2:J3),MAX(C2:J3))</f>
        <v>6498</v>
      </c>
    </row>
    <row r="3" spans="1:12">
      <c r="A3" s="181">
        <v>1477</v>
      </c>
      <c r="B3" s="181" t="s">
        <v>10</v>
      </c>
      <c r="C3" s="181">
        <f>VLOOKUP("營業收入淨額",PKB!$B$1:$L$500,9,0)</f>
        <v>5167</v>
      </c>
      <c r="D3" s="181">
        <f>VLOOKUP("營業收入淨額",PKB!$B$1:$L$500,8,0)</f>
        <v>4323</v>
      </c>
      <c r="E3" s="181">
        <f>VLOOKUP("營業收入淨額",PKB!$B$1:$L$500,7,0)</f>
        <v>5213</v>
      </c>
      <c r="F3" s="181">
        <f>VLOOKUP("營業收入淨額",PKB!$B$1:$L$500,6,0)</f>
        <v>4355</v>
      </c>
      <c r="G3" s="181">
        <f>VLOOKUP("營業收入淨額",PKB!$B$1:$L$500,5,0)</f>
        <v>5952</v>
      </c>
      <c r="H3" s="181">
        <f>VLOOKUP("營業收入淨額",PKB!$B$1:$L$500,4,0)</f>
        <v>5369</v>
      </c>
      <c r="I3" s="181">
        <f>VLOOKUP("營業收入淨額",PKB!$B$1:$L$500,3,0)</f>
        <v>5782</v>
      </c>
      <c r="J3" s="181">
        <f>VLOOKUP("營業收入淨額",PKB!$B$1:$L$500,2,0)</f>
        <v>4975</v>
      </c>
      <c r="K3" s="181"/>
      <c r="L3" s="181"/>
    </row>
    <row r="4" spans="1:12">
      <c r="A4" s="181">
        <v>4426</v>
      </c>
      <c r="B4" s="181" t="s">
        <v>10</v>
      </c>
      <c r="C4" s="181">
        <f>VLOOKUP("營業收入淨額",PKC!$B$1:$L$500,9,0)</f>
        <v>300</v>
      </c>
      <c r="D4" s="181">
        <f>VLOOKUP("營業收入淨額",PKC!$B$1:$L$500,8,0)</f>
        <v>347</v>
      </c>
      <c r="E4" s="181">
        <f>VLOOKUP("營業收入淨額",PKC!$B$1:$L$500,7,0)</f>
        <v>322</v>
      </c>
      <c r="F4" s="181">
        <f>VLOOKUP("營業收入淨額",PKC!$B$1:$L$500,6,0)</f>
        <v>282</v>
      </c>
      <c r="G4" s="181">
        <f>VLOOKUP("營業收入淨額",PKC!$B$1:$L$500,5,0)</f>
        <v>371</v>
      </c>
      <c r="H4" s="181">
        <f>VLOOKUP("營業收入淨額",PKC!$B$1:$L$500,4,0)</f>
        <v>405</v>
      </c>
      <c r="I4" s="181">
        <f>VLOOKUP("營業收入淨額",PKC!$B$1:$L$500,3,0)</f>
        <v>494</v>
      </c>
      <c r="J4" s="181">
        <f>VLOOKUP("營業收入淨額",PKC!$B$1:$L$500,2,0)</f>
        <v>518</v>
      </c>
      <c r="K4" s="181"/>
      <c r="L4" s="181"/>
    </row>
    <row r="5" spans="1:12">
      <c r="A5" s="182">
        <v>1476</v>
      </c>
      <c r="B5" s="182" t="s">
        <v>11</v>
      </c>
      <c r="C5" s="182">
        <f>VLOOKUP("營業成本",PKA!$B$1:$L$500,9,0)</f>
        <v>3544</v>
      </c>
      <c r="D5" s="182">
        <f>VLOOKUP("營業成本",PKA!$B$1:$L$500,8,0)</f>
        <v>3924</v>
      </c>
      <c r="E5" s="182">
        <f>VLOOKUP("營業成本",PKA!$B$1:$L$500,7,0)</f>
        <v>3280</v>
      </c>
      <c r="F5" s="182">
        <f>VLOOKUP("營業成本",PKA!$B$1:$L$500,6,0)</f>
        <v>3664</v>
      </c>
      <c r="G5" s="182">
        <f>VLOOKUP("營業成本",PKA!$B$1:$L$500,5,0)</f>
        <v>4234</v>
      </c>
      <c r="H5" s="182">
        <f>VLOOKUP("營業成本",PKA!$B$1:$L$500,4,0)</f>
        <v>4193</v>
      </c>
      <c r="I5" s="182">
        <f>VLOOKUP("營業成本",PKA!$B$1:$L$500,3,0)</f>
        <v>3570</v>
      </c>
      <c r="J5" s="182">
        <f>VLOOKUP("營業成本",PKA!$B$1:$L$500,2,0)</f>
        <v>4684</v>
      </c>
      <c r="K5" s="182"/>
      <c r="L5" s="182"/>
    </row>
    <row r="6" spans="1:12">
      <c r="A6" s="182">
        <v>1477</v>
      </c>
      <c r="B6" s="182" t="s">
        <v>11</v>
      </c>
      <c r="C6" s="182">
        <f>VLOOKUP("營業成本",PKB!$B$1:$L$500,9,0)</f>
        <v>4172</v>
      </c>
      <c r="D6" s="182">
        <f>VLOOKUP("營業成本",PKB!$B$1:$L$500,8,0)</f>
        <v>3467</v>
      </c>
      <c r="E6" s="182">
        <f>VLOOKUP("營業成本",PKB!$B$1:$L$500,7,0)</f>
        <v>3954</v>
      </c>
      <c r="F6" s="182">
        <f>VLOOKUP("營業成本",PKB!$B$1:$L$500,6,0)</f>
        <v>3377</v>
      </c>
      <c r="G6" s="182">
        <f>VLOOKUP("營業成本",PKB!$B$1:$L$500,5,0)</f>
        <v>4747</v>
      </c>
      <c r="H6" s="182">
        <f>VLOOKUP("營業成本",PKB!$B$1:$L$500,4,0)</f>
        <v>4284</v>
      </c>
      <c r="I6" s="182">
        <f>VLOOKUP("營業成本",PKB!$B$1:$L$500,3,0)</f>
        <v>4285</v>
      </c>
      <c r="J6" s="182">
        <f>VLOOKUP("營業成本",PKB!$B$1:$L$500,2,0)</f>
        <v>3868</v>
      </c>
      <c r="K6" s="182"/>
      <c r="L6" s="182"/>
    </row>
    <row r="7" spans="1:12">
      <c r="A7" s="182">
        <v>4426</v>
      </c>
      <c r="B7" s="182" t="s">
        <v>11</v>
      </c>
      <c r="C7" s="182">
        <f>VLOOKUP("營業成本",PKC!$B$1:$L$500,9,0)</f>
        <v>196</v>
      </c>
      <c r="D7" s="182">
        <f>VLOOKUP("營業成本",PKC!$B$1:$L$500,8,0)</f>
        <v>232</v>
      </c>
      <c r="E7" s="182">
        <f>VLOOKUP("營業成本",PKC!$B$1:$L$500,7,0)</f>
        <v>210</v>
      </c>
      <c r="F7" s="182">
        <f>VLOOKUP("營業成本",PKC!$B$1:$L$500,6,0)</f>
        <v>185</v>
      </c>
      <c r="G7" s="182">
        <f>VLOOKUP("營業成本",PKC!$B$1:$L$500,5,0)</f>
        <v>234</v>
      </c>
      <c r="H7" s="182">
        <f>VLOOKUP("營業成本",PKC!$B$1:$L$500,4,0)</f>
        <v>230</v>
      </c>
      <c r="I7" s="182">
        <f>VLOOKUP("營業成本",PKC!$B$1:$L$500,3,0)</f>
        <v>251</v>
      </c>
      <c r="J7" s="182">
        <f>VLOOKUP("營業成本",PKC!$B$1:$L$500,2,0)</f>
        <v>260</v>
      </c>
      <c r="K7" s="182"/>
      <c r="L7" s="182"/>
    </row>
    <row r="8" spans="1:12">
      <c r="A8" s="183">
        <v>1476</v>
      </c>
      <c r="B8" s="183" t="s">
        <v>13</v>
      </c>
      <c r="C8" s="183">
        <f>VLOOKUP("本期稅後淨利",PKA!$B$1:$L$500,9,0)</f>
        <v>723</v>
      </c>
      <c r="D8" s="183">
        <f>VLOOKUP("本期稅後淨利",PKA!$B$1:$L$500,8,0)</f>
        <v>789</v>
      </c>
      <c r="E8" s="183">
        <f>VLOOKUP("本期稅後淨利",PKA!$B$1:$L$500,7,0)</f>
        <v>658</v>
      </c>
      <c r="F8" s="183">
        <f>VLOOKUP("本期稅後淨利",PKA!$B$1:$L$500,6,0)</f>
        <v>558</v>
      </c>
      <c r="G8" s="183">
        <f>VLOOKUP("本期稅後淨利",PKA!$B$1:$L$500,5,0)</f>
        <v>866</v>
      </c>
      <c r="H8" s="183">
        <f>VLOOKUP("本期稅後淨利",PKA!$B$1:$L$500,4,0)</f>
        <v>921</v>
      </c>
      <c r="I8" s="183">
        <f>VLOOKUP("本期稅後淨利",PKA!$B$1:$L$500,3,0)</f>
        <v>698</v>
      </c>
      <c r="J8" s="183">
        <f>VLOOKUP("本期稅後淨利",PKA!$B$1:$L$500,2,0)</f>
        <v>992</v>
      </c>
      <c r="K8" s="183"/>
      <c r="L8" s="183"/>
    </row>
    <row r="9" spans="1:12">
      <c r="A9" s="183">
        <v>1477</v>
      </c>
      <c r="B9" s="183" t="s">
        <v>13</v>
      </c>
      <c r="C9" s="183">
        <f>VLOOKUP("本期稅後淨利",PKB!$B$1:$L$500,9,0)</f>
        <v>367</v>
      </c>
      <c r="D9" s="183">
        <f>VLOOKUP("本期稅後淨利",PKB!$B$1:$L$500,8,0)</f>
        <v>295</v>
      </c>
      <c r="E9" s="183">
        <f>VLOOKUP("本期稅後淨利",PKB!$B$1:$L$500,7,0)</f>
        <v>489</v>
      </c>
      <c r="F9" s="183">
        <f>VLOOKUP("本期稅後淨利",PKB!$B$1:$L$500,6,0)</f>
        <v>351</v>
      </c>
      <c r="G9" s="183">
        <f>VLOOKUP("本期稅後淨利",PKB!$B$1:$L$500,5,0)</f>
        <v>459</v>
      </c>
      <c r="H9" s="183">
        <f>VLOOKUP("本期稅後淨利",PKB!$B$1:$L$500,4,0)</f>
        <v>406</v>
      </c>
      <c r="I9" s="183">
        <f>VLOOKUP("本期稅後淨利",PKB!$B$1:$L$500,3,0)</f>
        <v>640</v>
      </c>
      <c r="J9" s="183">
        <f>VLOOKUP("本期稅後淨利",PKB!$B$1:$L$500,2,0)</f>
        <v>433</v>
      </c>
      <c r="K9" s="183"/>
      <c r="L9" s="183"/>
    </row>
    <row r="10" spans="1:12">
      <c r="A10" s="183">
        <v>4426</v>
      </c>
      <c r="B10" s="183" t="s">
        <v>13</v>
      </c>
      <c r="C10" s="183">
        <f>VLOOKUP("本期稅後淨利",PKC!$B$1:$L$500,9,0)</f>
        <v>39</v>
      </c>
      <c r="D10" s="183">
        <f>VLOOKUP("本期稅後淨利",PKC!$B$1:$L$500,8,0)</f>
        <v>64</v>
      </c>
      <c r="E10" s="183">
        <f>VLOOKUP("本期稅後淨利",PKC!$B$1:$L$500,7,0)</f>
        <v>52</v>
      </c>
      <c r="F10" s="183">
        <f>VLOOKUP("本期稅後淨利",PKC!$B$1:$L$500,6,0)</f>
        <v>25</v>
      </c>
      <c r="G10" s="183">
        <f>VLOOKUP("本期稅後淨利",PKC!$B$1:$L$500,5,0)</f>
        <v>78</v>
      </c>
      <c r="H10" s="183">
        <f>VLOOKUP("本期稅後淨利",PKC!$B$1:$L$500,4,0)</f>
        <v>115</v>
      </c>
      <c r="I10" s="183">
        <f>VLOOKUP("本期稅後淨利",PKC!$B$1:$L$500,3,0)</f>
        <v>138</v>
      </c>
      <c r="J10" s="183">
        <f>VLOOKUP("本期稅後淨利",PKC!$B$1:$L$500,2,0)</f>
        <v>142</v>
      </c>
      <c r="K10" s="183"/>
      <c r="L10" s="183"/>
    </row>
    <row r="11" spans="1:12">
      <c r="A11" s="184">
        <v>1476</v>
      </c>
      <c r="B11" s="184" t="s">
        <v>246</v>
      </c>
      <c r="C11" s="184">
        <f>VLOOKUP("每股盈餘 (元)",PKA!$B$1:$L$500,9,0)</f>
        <v>2.88</v>
      </c>
      <c r="D11" s="184">
        <f>VLOOKUP("每股盈餘 (元)",PKA!$B$1:$L$500,8,0)</f>
        <v>3.14</v>
      </c>
      <c r="E11" s="184">
        <f>VLOOKUP("每股盈餘 (元)",PKA!$B$1:$L$500,7,0)</f>
        <v>2.62</v>
      </c>
      <c r="F11" s="184">
        <f>VLOOKUP("每股盈餘 (元)",PKA!$B$1:$L$500,6,0)</f>
        <v>2.2200000000000002</v>
      </c>
      <c r="G11" s="184">
        <f>VLOOKUP("每股盈餘 (元)",PKA!$B$1:$L$500,5,0)</f>
        <v>3.32</v>
      </c>
      <c r="H11" s="184">
        <f>VLOOKUP("每股盈餘 (元)",PKA!$B$1:$L$500,4,0)</f>
        <v>3.53</v>
      </c>
      <c r="I11" s="184">
        <f>VLOOKUP("每股盈餘 (元)",PKA!$B$1:$L$500,3,0)</f>
        <v>2.68</v>
      </c>
      <c r="J11" s="184">
        <f>VLOOKUP("每股盈餘 (元)",PKA!$B$1:$L$500,2,0)</f>
        <v>3.8</v>
      </c>
      <c r="K11" s="184"/>
      <c r="L11" s="184">
        <f>(SUM(G11:J11)/2)+(J11+I11)/2+(((G11-F11)/F11)+1)*J11</f>
        <v>15.58788288288288</v>
      </c>
    </row>
    <row r="12" spans="1:12">
      <c r="A12" s="184">
        <v>1477</v>
      </c>
      <c r="B12" s="184" t="s">
        <v>246</v>
      </c>
      <c r="C12" s="184">
        <f>VLOOKUP("每股盈餘 (元)",PKB!$B$1:$L$500,9,0)</f>
        <v>2.19</v>
      </c>
      <c r="D12" s="184">
        <f>VLOOKUP("每股盈餘 (元)",PKB!$B$1:$L$500,8,0)</f>
        <v>1.76</v>
      </c>
      <c r="E12" s="184">
        <f>VLOOKUP("每股盈餘 (元)",PKB!$B$1:$L$500,7,0)</f>
        <v>2.89</v>
      </c>
      <c r="F12" s="184">
        <f>VLOOKUP("每股盈餘 (元)",PKB!$B$1:$L$500,6,0)</f>
        <v>2.06</v>
      </c>
      <c r="G12" s="184">
        <f>VLOOKUP("每股盈餘 (元)",PKB!$B$1:$L$500,5,0)</f>
        <v>2.56</v>
      </c>
      <c r="H12" s="184">
        <f>VLOOKUP("每股盈餘 (元)",PKB!$B$1:$L$500,4,0)</f>
        <v>2.29</v>
      </c>
      <c r="I12" s="184">
        <f>VLOOKUP("每股盈餘 (元)",PKB!$B$1:$L$500,3,0)</f>
        <v>3.35</v>
      </c>
      <c r="J12" s="184">
        <f>VLOOKUP("每股盈餘 (元)",PKB!$B$1:$L$500,2,0)</f>
        <v>2.1800000000000002</v>
      </c>
      <c r="K12" s="184"/>
      <c r="L12" s="184">
        <f t="shared" ref="L12:L13" si="0">(SUM(G12:J12)/2)+(J12+I12)/2+(((G12-F12)/F12)+1)*J12</f>
        <v>10.664126213592233</v>
      </c>
    </row>
    <row r="13" spans="1:12">
      <c r="A13" s="184">
        <v>4426</v>
      </c>
      <c r="B13" s="184" t="s">
        <v>246</v>
      </c>
      <c r="C13" s="184">
        <f>VLOOKUP("每股盈餘 (元)",PKC!$B$1:$L$500,9,0)</f>
        <v>0.6</v>
      </c>
      <c r="D13" s="184">
        <f>VLOOKUP("每股盈餘 (元)",PKC!$B$1:$L$500,8,0)</f>
        <v>0.93</v>
      </c>
      <c r="E13" s="184">
        <f>VLOOKUP("每股盈餘 (元)",PKC!$B$1:$L$500,7,0)</f>
        <v>0.74</v>
      </c>
      <c r="F13" s="184">
        <f>VLOOKUP("每股盈餘 (元)",PKC!$B$1:$L$500,6,0)</f>
        <v>0.36</v>
      </c>
      <c r="G13" s="184">
        <f>VLOOKUP("每股盈餘 (元)",PKC!$B$1:$L$500,5,0)</f>
        <v>1.02</v>
      </c>
      <c r="H13" s="184">
        <f>VLOOKUP("每股盈餘 (元)",PKC!$B$1:$L$500,4,0)</f>
        <v>1.5</v>
      </c>
      <c r="I13" s="184">
        <f>VLOOKUP("每股盈餘 (元)",PKC!$B$1:$L$500,3,0)</f>
        <v>1.8</v>
      </c>
      <c r="J13" s="184">
        <f>VLOOKUP("每股盈餘 (元)",PKC!$B$1:$L$500,2,0)</f>
        <v>1.85</v>
      </c>
      <c r="K13" s="184"/>
      <c r="L13" s="184">
        <f t="shared" si="0"/>
        <v>10.151666666666667</v>
      </c>
    </row>
    <row r="14" spans="1:12">
      <c r="A14" s="185">
        <v>1476</v>
      </c>
      <c r="B14" s="185" t="s">
        <v>219</v>
      </c>
      <c r="C14" s="185">
        <f>VLOOKUP(" 應收帳款及票據",PKA!$B$1:$L$500,9,0)</f>
        <v>2174</v>
      </c>
      <c r="D14" s="185">
        <f>VLOOKUP(" 應收帳款及票據",PKA!$B$1:$L$500,8,0)</f>
        <v>2234</v>
      </c>
      <c r="E14" s="185">
        <f>VLOOKUP(" 應收帳款及票據",PKA!$B$1:$L$500,7,0)</f>
        <v>2182</v>
      </c>
      <c r="F14" s="185">
        <f>VLOOKUP(" 應收帳款及票據",PKA!$B$1:$L$500,6,0)</f>
        <v>2471</v>
      </c>
      <c r="G14" s="185">
        <f>VLOOKUP(" 應收帳款及票據",PKA!$B$1:$L$500,5,0)</f>
        <v>2736</v>
      </c>
      <c r="H14" s="185">
        <f>VLOOKUP(" 應收帳款及票據",PKA!$B$1:$L$500,4,0)</f>
        <v>2775</v>
      </c>
      <c r="I14" s="185">
        <f>VLOOKUP(" 應收帳款及票據",PKA!$B$1:$L$500,3,0)</f>
        <v>2322</v>
      </c>
      <c r="J14" s="185">
        <f>VLOOKUP(" 應收帳款及票據",PKA!$B$1:$L$500,2,0)</f>
        <v>3394</v>
      </c>
      <c r="K14" s="185"/>
      <c r="L14" s="185"/>
    </row>
    <row r="15" spans="1:12">
      <c r="A15" s="185">
        <v>1477</v>
      </c>
      <c r="B15" s="185" t="s">
        <v>219</v>
      </c>
      <c r="C15" s="185">
        <f>VLOOKUP(" 應收帳款及票據",PKB!$B$1:$L$500,9,0)</f>
        <v>291</v>
      </c>
      <c r="D15" s="185">
        <f>VLOOKUP(" 應收帳款及票據",PKB!$B$1:$L$500,8,0)</f>
        <v>293</v>
      </c>
      <c r="E15" s="185">
        <f>VLOOKUP(" 應收帳款及票據",PKB!$B$1:$L$500,7,0)</f>
        <v>453</v>
      </c>
      <c r="F15" s="185">
        <f>VLOOKUP(" 應收帳款及票據",PKB!$B$1:$L$500,6,0)</f>
        <v>375</v>
      </c>
      <c r="G15" s="185">
        <f>VLOOKUP(" 應收帳款及票據",PKB!$B$1:$L$500,5,0)</f>
        <v>1552</v>
      </c>
      <c r="H15" s="185">
        <f>VLOOKUP(" 應收帳款及票據",PKB!$B$1:$L$500,4,0)</f>
        <v>1319</v>
      </c>
      <c r="I15" s="185">
        <f>VLOOKUP(" 應收帳款及票據",PKB!$B$1:$L$500,3,0)</f>
        <v>962</v>
      </c>
      <c r="J15" s="185">
        <f>VLOOKUP(" 應收帳款及票據",PKB!$B$1:$L$500,2,0)</f>
        <v>741</v>
      </c>
      <c r="K15" s="185"/>
      <c r="L15" s="185"/>
    </row>
    <row r="16" spans="1:12">
      <c r="A16" s="185">
        <v>4426</v>
      </c>
      <c r="B16" s="185" t="s">
        <v>219</v>
      </c>
      <c r="C16" s="185">
        <f>VLOOKUP(" 應收帳款及票據",PKC!$B$1:$L$500,9,0)</f>
        <v>218</v>
      </c>
      <c r="D16" s="185">
        <f>VLOOKUP(" 應收帳款及票據",PKC!$B$1:$L$500,8,0)</f>
        <v>232</v>
      </c>
      <c r="E16" s="185">
        <f>VLOOKUP(" 應收帳款及票據",PKC!$B$1:$L$500,7,0)</f>
        <v>252</v>
      </c>
      <c r="F16" s="185">
        <f>VLOOKUP(" 應收帳款及票據",PKC!$B$1:$L$500,6,0)</f>
        <v>194</v>
      </c>
      <c r="G16" s="185">
        <f>VLOOKUP(" 應收帳款及票據",PKC!$B$1:$L$500,5,0)</f>
        <v>271</v>
      </c>
      <c r="H16" s="185">
        <f>VLOOKUP(" 應收帳款及票據",PKC!$B$1:$L$500,4,0)</f>
        <v>282</v>
      </c>
      <c r="I16" s="185">
        <f>VLOOKUP(" 應收帳款及票據",PKC!$B$1:$L$500,3,0)</f>
        <v>354</v>
      </c>
      <c r="J16" s="185">
        <f>VLOOKUP(" 應收帳款及票據",PKC!$B$1:$L$500,2,0)</f>
        <v>345</v>
      </c>
      <c r="K16" s="185"/>
      <c r="L16" s="185"/>
    </row>
    <row r="17" spans="1:12">
      <c r="A17" s="181">
        <v>1476</v>
      </c>
      <c r="B17" s="181" t="s">
        <v>15</v>
      </c>
      <c r="C17" s="181">
        <f>VLOOKUP(" 存貨",PKA!$B$1:$L$500,9,0)</f>
        <v>3245</v>
      </c>
      <c r="D17" s="181">
        <f>VLOOKUP(" 存貨",PKA!$B$1:$L$500,8,0)</f>
        <v>3233</v>
      </c>
      <c r="E17" s="181">
        <f>VLOOKUP(" 存貨",PKA!$B$1:$L$500,7,0)</f>
        <v>3335</v>
      </c>
      <c r="F17" s="181">
        <f>VLOOKUP(" 存貨",PKA!$B$1:$L$500,6,0)</f>
        <v>3341</v>
      </c>
      <c r="G17" s="181">
        <f>VLOOKUP(" 存貨",PKA!$B$1:$L$500,5,0)</f>
        <v>3400</v>
      </c>
      <c r="H17" s="181">
        <f>VLOOKUP(" 存貨",PKA!$B$1:$L$500,4,0)</f>
        <v>3099</v>
      </c>
      <c r="I17" s="181">
        <f>VLOOKUP(" 存貨",PKA!$B$1:$L$500,3,0)</f>
        <v>3726</v>
      </c>
      <c r="J17" s="181">
        <f>VLOOKUP(" 存貨",PKA!$B$1:$L$500,2,0)</f>
        <v>4099</v>
      </c>
      <c r="K17" s="181"/>
      <c r="L17" s="181"/>
    </row>
    <row r="18" spans="1:12">
      <c r="A18" s="181">
        <v>1477</v>
      </c>
      <c r="B18" s="181" t="s">
        <v>15</v>
      </c>
      <c r="C18" s="181">
        <f>VLOOKUP(" 存貨",PKB!$B$1:$L$500,9,0)</f>
        <v>2376</v>
      </c>
      <c r="D18" s="181">
        <f>VLOOKUP(" 存貨",PKB!$B$1:$L$500,8,0)</f>
        <v>2872</v>
      </c>
      <c r="E18" s="181">
        <f>VLOOKUP(" 存貨",PKB!$B$1:$L$500,7,0)</f>
        <v>2034</v>
      </c>
      <c r="F18" s="181">
        <f>VLOOKUP(" 存貨",PKB!$B$1:$L$500,6,0)</f>
        <v>3128</v>
      </c>
      <c r="G18" s="181">
        <f>VLOOKUP(" 存貨",PKB!$B$1:$L$500,5,0)</f>
        <v>2915</v>
      </c>
      <c r="H18" s="181">
        <f>VLOOKUP(" 存貨",PKB!$B$1:$L$500,4,0)</f>
        <v>2745</v>
      </c>
      <c r="I18" s="181">
        <f>VLOOKUP(" 存貨",PKB!$B$1:$L$500,3,0)</f>
        <v>2066</v>
      </c>
      <c r="J18" s="181">
        <f>VLOOKUP(" 存貨",PKB!$B$1:$L$500,2,0)</f>
        <v>3237</v>
      </c>
      <c r="K18" s="181"/>
      <c r="L18" s="181"/>
    </row>
    <row r="19" spans="1:12">
      <c r="A19" s="181">
        <v>4426</v>
      </c>
      <c r="B19" s="181" t="s">
        <v>15</v>
      </c>
      <c r="C19" s="181">
        <f>VLOOKUP(" 存貨",PKC!$B$1:$L$500,9,0)</f>
        <v>253</v>
      </c>
      <c r="D19" s="181">
        <f>VLOOKUP(" 存貨",PKC!$B$1:$L$500,8,0)</f>
        <v>228</v>
      </c>
      <c r="E19" s="181">
        <f>VLOOKUP(" 存貨",PKC!$B$1:$L$500,7,0)</f>
        <v>197</v>
      </c>
      <c r="F19" s="181">
        <f>VLOOKUP(" 存貨",PKC!$B$1:$L$500,6,0)</f>
        <v>204</v>
      </c>
      <c r="G19" s="181">
        <f>VLOOKUP(" 存貨",PKC!$B$1:$L$500,5,0)</f>
        <v>184</v>
      </c>
      <c r="H19" s="181">
        <f>VLOOKUP(" 存貨",PKC!$B$1:$L$500,4,0)</f>
        <v>195</v>
      </c>
      <c r="I19" s="181">
        <f>VLOOKUP(" 存貨",PKC!$B$1:$L$500,3,0)</f>
        <v>201</v>
      </c>
      <c r="J19" s="181">
        <f>VLOOKUP(" 存貨",PKC!$B$1:$L$500,2,0)</f>
        <v>226</v>
      </c>
      <c r="K19" s="181"/>
      <c r="L19" s="181"/>
    </row>
    <row r="20" spans="1:12">
      <c r="A20" s="182">
        <v>1476</v>
      </c>
      <c r="B20" s="182" t="s">
        <v>17</v>
      </c>
      <c r="C20" s="182">
        <f>VLOOKUP("負債總額",PKA!$B$1:$L$500,9,0)</f>
        <v>5156</v>
      </c>
      <c r="D20" s="182">
        <f>VLOOKUP("負債總額",PKA!$B$1:$L$500,8,0)</f>
        <v>4429</v>
      </c>
      <c r="E20" s="182">
        <f>VLOOKUP("負債總額",PKA!$B$1:$L$500,7,0)</f>
        <v>4576</v>
      </c>
      <c r="F20" s="182">
        <f>VLOOKUP("負債總額",PKA!$B$1:$L$500,6,0)</f>
        <v>6404</v>
      </c>
      <c r="G20" s="182">
        <f>VLOOKUP("負債總額",PKA!$B$1:$L$500,5,0)</f>
        <v>5425</v>
      </c>
      <c r="H20" s="182">
        <f>VLOOKUP("負債總額",PKA!$B$1:$L$500,4,0)</f>
        <v>5447</v>
      </c>
      <c r="I20" s="182">
        <f>VLOOKUP("負債總額",PKA!$B$1:$L$500,3,0)</f>
        <v>5657</v>
      </c>
      <c r="J20" s="182">
        <f>VLOOKUP("負債總額",PKA!$B$1:$L$500,2,0)</f>
        <v>7867</v>
      </c>
      <c r="K20" s="182"/>
      <c r="L20" s="182"/>
    </row>
    <row r="21" spans="1:12">
      <c r="A21" s="182">
        <v>1477</v>
      </c>
      <c r="B21" s="182" t="s">
        <v>17</v>
      </c>
      <c r="C21" s="182">
        <f>VLOOKUP("負債總額",PKB!$B$1:$L$500,9,0)</f>
        <v>3316</v>
      </c>
      <c r="D21" s="182">
        <f>VLOOKUP("負債總額",PKB!$B$1:$L$500,8,0)</f>
        <v>4765</v>
      </c>
      <c r="E21" s="182">
        <f>VLOOKUP("負債總額",PKB!$B$1:$L$500,7,0)</f>
        <v>4824</v>
      </c>
      <c r="F21" s="182">
        <f>VLOOKUP("負債總額",PKB!$B$1:$L$500,6,0)</f>
        <v>7426</v>
      </c>
      <c r="G21" s="182">
        <f>VLOOKUP("負債總額",PKB!$B$1:$L$500,5,0)</f>
        <v>4342</v>
      </c>
      <c r="H21" s="182">
        <f>VLOOKUP("負債總額",PKB!$B$1:$L$500,4,0)</f>
        <v>3771</v>
      </c>
      <c r="I21" s="182">
        <f>VLOOKUP("負債總額",PKB!$B$1:$L$500,3,0)</f>
        <v>4028</v>
      </c>
      <c r="J21" s="182">
        <f>VLOOKUP("負債總額",PKB!$B$1:$L$500,2,0)</f>
        <v>6505</v>
      </c>
      <c r="K21" s="182"/>
      <c r="L21" s="182"/>
    </row>
    <row r="22" spans="1:12">
      <c r="A22" s="182">
        <v>4426</v>
      </c>
      <c r="B22" s="182" t="s">
        <v>17</v>
      </c>
      <c r="C22" s="182">
        <f>VLOOKUP("負債總額",PKC!$B$1:$L$500,9,0)</f>
        <v>738</v>
      </c>
      <c r="D22" s="182">
        <f>VLOOKUP("負債總額",PKC!$B$1:$L$500,8,0)</f>
        <v>654</v>
      </c>
      <c r="E22" s="182">
        <f>VLOOKUP("負債總額",PKC!$B$1:$L$500,7,0)</f>
        <v>623</v>
      </c>
      <c r="F22" s="182">
        <f>VLOOKUP("負債總額",PKC!$B$1:$L$500,6,0)</f>
        <v>630</v>
      </c>
      <c r="G22" s="182">
        <f>VLOOKUP("負債總額",PKC!$B$1:$L$500,5,0)</f>
        <v>689</v>
      </c>
      <c r="H22" s="182">
        <f>VLOOKUP("負債總額",PKC!$B$1:$L$500,4,0)</f>
        <v>778</v>
      </c>
      <c r="I22" s="182">
        <f>VLOOKUP("負債總額",PKC!$B$1:$L$500,3,0)</f>
        <v>801</v>
      </c>
      <c r="J22" s="182">
        <f>VLOOKUP("負債總額",PKC!$B$1:$L$500,2,0)</f>
        <v>949</v>
      </c>
      <c r="K22" s="182"/>
      <c r="L22" s="182"/>
    </row>
    <row r="23" spans="1:12">
      <c r="A23" s="183">
        <v>1476</v>
      </c>
      <c r="B23" s="183" t="s">
        <v>18</v>
      </c>
      <c r="C23" s="183">
        <f>VLOOKUP("資產總額",PKA!$B$1:$L$500,9,0)</f>
        <v>12467</v>
      </c>
      <c r="D23" s="183">
        <f>VLOOKUP("資產總額",PKA!$B$1:$L$500,8,0)</f>
        <v>12546</v>
      </c>
      <c r="E23" s="183">
        <f>VLOOKUP("資產總額",PKA!$B$1:$L$500,7,0)</f>
        <v>13403</v>
      </c>
      <c r="F23" s="183">
        <f>VLOOKUP("資產總額",PKA!$B$1:$L$500,6,0)</f>
        <v>13971</v>
      </c>
      <c r="G23" s="183">
        <f>VLOOKUP("資產總額",PKA!$B$1:$L$500,5,0)</f>
        <v>13906</v>
      </c>
      <c r="H23" s="183">
        <f>VLOOKUP("資產總額",PKA!$B$1:$L$500,4,0)</f>
        <v>14925</v>
      </c>
      <c r="I23" s="183">
        <f>VLOOKUP("資產總額",PKA!$B$1:$L$500,3,0)</f>
        <v>15803</v>
      </c>
      <c r="J23" s="183">
        <f>VLOOKUP("資產總額",PKA!$B$1:$L$500,2,0)</f>
        <v>16879</v>
      </c>
      <c r="K23" s="183"/>
      <c r="L23" s="183"/>
    </row>
    <row r="24" spans="1:12">
      <c r="A24" s="183">
        <v>1477</v>
      </c>
      <c r="B24" s="183" t="s">
        <v>18</v>
      </c>
      <c r="C24" s="183">
        <f>VLOOKUP("資產總額",PKB!$B$1:$L$500,9,0)</f>
        <v>8286</v>
      </c>
      <c r="D24" s="183">
        <f>VLOOKUP("資產總額",PKB!$B$1:$L$500,8,0)</f>
        <v>10095</v>
      </c>
      <c r="E24" s="183">
        <f>VLOOKUP("資產總額",PKB!$B$1:$L$500,7,0)</f>
        <v>10680</v>
      </c>
      <c r="F24" s="183">
        <f>VLOOKUP("資產總額",PKB!$B$1:$L$500,6,0)</f>
        <v>12320</v>
      </c>
      <c r="G24" s="183">
        <f>VLOOKUP("資產總額",PKB!$B$1:$L$500,5,0)</f>
        <v>12012</v>
      </c>
      <c r="H24" s="183">
        <f>VLOOKUP("資產總額",PKB!$B$1:$L$500,4,0)</f>
        <v>11994</v>
      </c>
      <c r="I24" s="183">
        <f>VLOOKUP("資產總額",PKB!$B$1:$L$500,3,0)</f>
        <v>12826</v>
      </c>
      <c r="J24" s="183">
        <f>VLOOKUP("資產總額",PKB!$B$1:$L$500,2,0)</f>
        <v>14273</v>
      </c>
      <c r="K24" s="183"/>
      <c r="L24" s="183"/>
    </row>
    <row r="25" spans="1:12">
      <c r="A25" s="183">
        <v>4426</v>
      </c>
      <c r="B25" s="183" t="s">
        <v>18</v>
      </c>
      <c r="C25" s="183">
        <f>VLOOKUP("資產總額",PKC!$B$1:$L$500,9,0)</f>
        <v>1876</v>
      </c>
      <c r="D25" s="183">
        <f>VLOOKUP("資產總額",PKC!$B$1:$L$500,8,0)</f>
        <v>1855</v>
      </c>
      <c r="E25" s="183">
        <f>VLOOKUP("資產總額",PKC!$B$1:$L$500,7,0)</f>
        <v>1876</v>
      </c>
      <c r="F25" s="183">
        <f>VLOOKUP("資產總額",PKC!$B$1:$L$500,6,0)</f>
        <v>1878</v>
      </c>
      <c r="G25" s="183">
        <f>VLOOKUP("資產總額",PKC!$B$1:$L$500,5,0)</f>
        <v>2014</v>
      </c>
      <c r="H25" s="183">
        <f>VLOOKUP("資產總額",PKC!$B$1:$L$500,4,0)</f>
        <v>2219</v>
      </c>
      <c r="I25" s="183">
        <f>VLOOKUP("資產總額",PKC!$B$1:$L$500,3,0)</f>
        <v>2379</v>
      </c>
      <c r="J25" s="183">
        <f>VLOOKUP("資產總額",PKC!$B$1:$L$500,2,0)</f>
        <v>2624</v>
      </c>
      <c r="K25" s="183"/>
      <c r="L25" s="183"/>
    </row>
    <row r="26" spans="1:12">
      <c r="A26" s="184">
        <v>1476</v>
      </c>
      <c r="B26" s="184" t="s">
        <v>247</v>
      </c>
      <c r="C26" s="184">
        <f>VLOOKUP("來自營運之現金流量",PKA!$B$1:$L$500,9,0)</f>
        <v>579</v>
      </c>
      <c r="D26" s="184">
        <f>VLOOKUP("來自營運之現金流量",PKA!$B$1:$L$500,8,0)</f>
        <v>1242</v>
      </c>
      <c r="E26" s="184">
        <f>VLOOKUP("來自營運之現金流量",PKA!$B$1:$L$500,7,0)</f>
        <v>564</v>
      </c>
      <c r="F26" s="184">
        <f>VLOOKUP("來自營運之現金流量",PKA!$B$1:$L$500,6,0)</f>
        <v>256</v>
      </c>
      <c r="G26" s="184">
        <f>VLOOKUP("來自營運之現金流量",PKA!$B$1:$L$500,5,0)</f>
        <v>899</v>
      </c>
      <c r="H26" s="184">
        <f>VLOOKUP("來自營運之現金流量",PKA!$B$1:$L$500,4,0)</f>
        <v>1425</v>
      </c>
      <c r="I26" s="184">
        <f>VLOOKUP("來自營運之現金流量",PKA!$B$1:$L$500,3,0)</f>
        <v>794</v>
      </c>
      <c r="J26" s="184">
        <f>VLOOKUP("來自營運之現金流量",PKA!$B$1:$L$500,2,0)</f>
        <v>9</v>
      </c>
      <c r="K26" s="184">
        <f>IF(ISNA(C28),MIN(C26:J27),MIN(C26:J28))</f>
        <v>-430</v>
      </c>
      <c r="L26" s="184">
        <f>IF(ISNA(C28),MAX(C26:J27),MAX(C26:J28))</f>
        <v>1425</v>
      </c>
    </row>
    <row r="27" spans="1:12">
      <c r="A27" s="184">
        <v>1477</v>
      </c>
      <c r="B27" s="184" t="s">
        <v>248</v>
      </c>
      <c r="C27" s="184">
        <f>VLOOKUP("來自營運之現金流量",PKB!$B$1:$L$500,9,0)</f>
        <v>-430</v>
      </c>
      <c r="D27" s="184">
        <f>VLOOKUP("來自營運之現金流量",PKB!$B$1:$L$500,8,0)</f>
        <v>1109</v>
      </c>
      <c r="E27" s="184">
        <f>VLOOKUP("來自營運之現金流量",PKB!$B$1:$L$500,7,0)</f>
        <v>98</v>
      </c>
      <c r="F27" s="184">
        <f>VLOOKUP("來自營運之現金流量",PKB!$B$1:$L$500,6,0)</f>
        <v>277</v>
      </c>
      <c r="G27" s="184">
        <f>VLOOKUP("來自營運之現金流量",PKB!$B$1:$L$500,5,0)</f>
        <v>-264</v>
      </c>
      <c r="H27" s="184">
        <f>VLOOKUP("來自營運之現金流量",PKB!$B$1:$L$500,4,0)</f>
        <v>1280</v>
      </c>
      <c r="I27" s="184">
        <f>VLOOKUP("來自營運之現金流量",PKB!$B$1:$L$500,3,0)</f>
        <v>307</v>
      </c>
      <c r="J27" s="184">
        <f>VLOOKUP("來自營運之現金流量",PKB!$B$1:$L$500,2,0)</f>
        <v>262</v>
      </c>
      <c r="K27" s="184"/>
      <c r="L27" s="184"/>
    </row>
    <row r="28" spans="1:12">
      <c r="A28" s="184">
        <v>4426</v>
      </c>
      <c r="B28" s="184" t="s">
        <v>248</v>
      </c>
      <c r="C28" s="184">
        <f>VLOOKUP("來自營運之現金流量",PKC!$B$1:$L$500,9,0)</f>
        <v>-19</v>
      </c>
      <c r="D28" s="184">
        <f>VLOOKUP("來自營運之現金流量",PKC!$B$1:$L$500,8,0)</f>
        <v>107</v>
      </c>
      <c r="E28" s="184">
        <f>VLOOKUP("來自營運之現金流量",PKC!$B$1:$L$500,7,0)</f>
        <v>98</v>
      </c>
      <c r="F28" s="184">
        <f>VLOOKUP("來自營運之現金流量",PKC!$B$1:$L$500,6,0)</f>
        <v>104</v>
      </c>
      <c r="G28" s="184">
        <f>VLOOKUP("來自營運之現金流量",PKC!$B$1:$L$500,5,0)</f>
        <v>30</v>
      </c>
      <c r="H28" s="184">
        <f>VLOOKUP("來自營運之現金流量",PKC!$B$1:$L$500,4,0)</f>
        <v>207</v>
      </c>
      <c r="I28" s="184">
        <f>VLOOKUP("來自營運之現金流量",PKC!$B$1:$L$500,3,0)</f>
        <v>127</v>
      </c>
      <c r="J28" s="184">
        <f>VLOOKUP("來自營運之現金流量",PKC!$B$1:$L$500,2,0)</f>
        <v>100</v>
      </c>
      <c r="K28" s="184"/>
      <c r="L28" s="184"/>
    </row>
    <row r="29" spans="1:12">
      <c r="A29" s="185">
        <v>1476</v>
      </c>
      <c r="B29" s="185" t="s">
        <v>136</v>
      </c>
      <c r="C29" s="185">
        <f>VLOOKUP("投資活動之現金流量",PKA!$B$1:$L$500,9,0)</f>
        <v>-483</v>
      </c>
      <c r="D29" s="185">
        <f>VLOOKUP("投資活動之現金流量",PKA!$B$1:$L$500,8,0)</f>
        <v>-465</v>
      </c>
      <c r="E29" s="185">
        <f>VLOOKUP("投資活動之現金流量",PKA!$B$1:$L$500,7,0)</f>
        <v>-610</v>
      </c>
      <c r="F29" s="185">
        <f>VLOOKUP("投資活動之現金流量",PKA!$B$1:$L$500,6,0)</f>
        <v>-621</v>
      </c>
      <c r="G29" s="185">
        <f>VLOOKUP("投資活動之現金流量",PKA!$B$1:$L$500,5,0)</f>
        <v>-187</v>
      </c>
      <c r="H29" s="185">
        <f>VLOOKUP("投資活動之現金流量",PKA!$B$1:$L$500,4,0)</f>
        <v>-234</v>
      </c>
      <c r="I29" s="185">
        <f>VLOOKUP("投資活動之現金流量",PKA!$B$1:$L$500,3,0)</f>
        <v>-141</v>
      </c>
      <c r="J29" s="185">
        <f>VLOOKUP("投資活動之現金流量",PKA!$B$1:$L$500,2,0)</f>
        <v>-203</v>
      </c>
      <c r="K29" s="185"/>
      <c r="L29" s="185"/>
    </row>
    <row r="30" spans="1:12">
      <c r="A30" s="185">
        <v>1477</v>
      </c>
      <c r="B30" s="185" t="s">
        <v>136</v>
      </c>
      <c r="C30" s="185">
        <f>VLOOKUP("投資活動之現金流量",PKB!$B$1:$L$500,9,0)</f>
        <v>-167</v>
      </c>
      <c r="D30" s="185">
        <f>VLOOKUP("投資活動之現金流量",PKB!$B$1:$L$500,8,0)</f>
        <v>-3113</v>
      </c>
      <c r="E30" s="185">
        <f>VLOOKUP("投資活動之現金流量",PKB!$B$1:$L$500,7,0)</f>
        <v>-94</v>
      </c>
      <c r="F30" s="185">
        <f>VLOOKUP("投資活動之現金流量",PKB!$B$1:$L$500,6,0)</f>
        <v>-233</v>
      </c>
      <c r="G30" s="185">
        <f>VLOOKUP("投資活動之現金流量",PKB!$B$1:$L$500,5,0)</f>
        <v>-125</v>
      </c>
      <c r="H30" s="185">
        <f>VLOOKUP("投資活動之現金流量",PKB!$B$1:$L$500,4,0)</f>
        <v>-97</v>
      </c>
      <c r="I30" s="185">
        <f>VLOOKUP("投資活動之現金流量",PKB!$B$1:$L$500,3,0)</f>
        <v>-82</v>
      </c>
      <c r="J30" s="185">
        <f>VLOOKUP("投資活動之現金流量",PKB!$B$1:$L$500,2,0)</f>
        <v>-211</v>
      </c>
      <c r="K30" s="185"/>
      <c r="L30" s="185"/>
    </row>
    <row r="31" spans="1:12">
      <c r="A31" s="185">
        <v>4426</v>
      </c>
      <c r="B31" s="185" t="s">
        <v>136</v>
      </c>
      <c r="C31" s="185">
        <f>VLOOKUP("投資活動之現金流量",PKC!$B$1:$L$500,9,0)</f>
        <v>-47</v>
      </c>
      <c r="D31" s="185">
        <f>VLOOKUP("投資活動之現金流量",PKC!$B$1:$L$500,8,0)</f>
        <v>-21</v>
      </c>
      <c r="E31" s="185">
        <f>VLOOKUP("投資活動之現金流量",PKC!$B$1:$L$500,7,0)</f>
        <v>-37</v>
      </c>
      <c r="F31" s="185">
        <f>VLOOKUP("投資活動之現金流量",PKC!$B$1:$L$500,6,0)</f>
        <v>-84</v>
      </c>
      <c r="G31" s="185">
        <f>VLOOKUP("投資活動之現金流量",PKC!$B$1:$L$500,5,0)</f>
        <v>-11</v>
      </c>
      <c r="H31" s="185">
        <f>VLOOKUP("投資活動之現金流量",PKC!$B$1:$L$500,4,0)</f>
        <v>-55</v>
      </c>
      <c r="I31" s="185">
        <f>VLOOKUP("投資活動之現金流量",PKC!$B$1:$L$500,3,0)</f>
        <v>-120</v>
      </c>
      <c r="J31" s="185">
        <f>VLOOKUP("投資活動之現金流量",PKC!$B$1:$L$500,2,0)</f>
        <v>-130</v>
      </c>
      <c r="K31" s="185"/>
      <c r="L31" s="185"/>
    </row>
    <row r="32" spans="1:12">
      <c r="A32" s="181">
        <v>1476</v>
      </c>
      <c r="B32" s="181" t="s">
        <v>20</v>
      </c>
      <c r="C32" s="181">
        <f>VLOOKUP(" 固定資產(購置)",PKA!$B$1:$L$500,9,0)</f>
        <v>-460</v>
      </c>
      <c r="D32" s="181">
        <f>VLOOKUP(" 固定資產(購置)",PKA!$B$1:$L$500,8,0)</f>
        <v>-460</v>
      </c>
      <c r="E32" s="181">
        <f>VLOOKUP(" 固定資產(購置)",PKA!$B$1:$L$500,7,0)</f>
        <v>-614</v>
      </c>
      <c r="F32" s="181">
        <f>VLOOKUP(" 固定資產(購置)",PKA!$B$1:$L$500,6,0)</f>
        <v>-618</v>
      </c>
      <c r="G32" s="181">
        <f>VLOOKUP(" 固定資產(購置)",PKA!$B$1:$L$500,5,0)</f>
        <v>-190</v>
      </c>
      <c r="H32" s="181">
        <f>VLOOKUP(" 固定資產(購置)",PKA!$B$1:$L$500,4,0)</f>
        <v>-229</v>
      </c>
      <c r="I32" s="181">
        <f>VLOOKUP(" 固定資產(購置)",PKA!$B$1:$L$500,3,0)</f>
        <v>-151</v>
      </c>
      <c r="J32" s="181">
        <f>VLOOKUP(" 固定資產(購置)",PKA!$B$1:$L$500,2,0)</f>
        <v>-204</v>
      </c>
      <c r="K32" s="181"/>
      <c r="L32" s="181"/>
    </row>
    <row r="33" spans="1:12">
      <c r="A33" s="181">
        <v>1477</v>
      </c>
      <c r="B33" s="181" t="s">
        <v>20</v>
      </c>
      <c r="C33" s="181">
        <f>VLOOKUP(" 固定資產(購置)",PKB!$B$1:$L$500,9,0)</f>
        <v>-183</v>
      </c>
      <c r="D33" s="181">
        <f>VLOOKUP(" 固定資產(購置)",PKB!$B$1:$L$500,8,0)</f>
        <v>-2885</v>
      </c>
      <c r="E33" s="181">
        <f>VLOOKUP(" 固定資產(購置)",PKB!$B$1:$L$500,7,0)</f>
        <v>-65</v>
      </c>
      <c r="F33" s="181">
        <f>VLOOKUP(" 固定資產(購置)",PKB!$B$1:$L$500,6,0)</f>
        <v>-157</v>
      </c>
      <c r="G33" s="181">
        <f>VLOOKUP(" 固定資產(購置)",PKB!$B$1:$L$500,5,0)</f>
        <v>-117</v>
      </c>
      <c r="H33" s="181">
        <f>VLOOKUP(" 固定資產(購置)",PKB!$B$1:$L$500,4,0)</f>
        <v>-64</v>
      </c>
      <c r="I33" s="181">
        <f>VLOOKUP(" 固定資產(購置)",PKB!$B$1:$L$500,3,0)</f>
        <v>-78</v>
      </c>
      <c r="J33" s="181">
        <f>VLOOKUP(" 固定資產(購置)",PKB!$B$1:$L$500,2,0)</f>
        <v>-224</v>
      </c>
      <c r="K33" s="181"/>
      <c r="L33" s="181"/>
    </row>
    <row r="34" spans="1:12">
      <c r="A34" s="181">
        <v>4426</v>
      </c>
      <c r="B34" s="181" t="s">
        <v>20</v>
      </c>
      <c r="C34" s="181">
        <f>VLOOKUP(" 固定資產(購置)",PKC!$B$1:$L$500,9,0)</f>
        <v>-47</v>
      </c>
      <c r="D34" s="181">
        <f>VLOOKUP(" 固定資產(購置)",PKC!$B$1:$L$500,8,0)</f>
        <v>-22</v>
      </c>
      <c r="E34" s="181">
        <f>VLOOKUP(" 固定資產(購置)",PKC!$B$1:$L$500,7,0)</f>
        <v>-36</v>
      </c>
      <c r="F34" s="181">
        <f>VLOOKUP(" 固定資產(購置)",PKC!$B$1:$L$500,6,0)</f>
        <v>-83</v>
      </c>
      <c r="G34" s="181">
        <f>VLOOKUP(" 固定資產(購置)",PKC!$B$1:$L$500,5,0)</f>
        <v>-11</v>
      </c>
      <c r="H34" s="181">
        <f>VLOOKUP(" 固定資產(購置)",PKC!$B$1:$L$500,4,0)</f>
        <v>-56</v>
      </c>
      <c r="I34" s="181">
        <f>VLOOKUP(" 固定資產(購置)",PKC!$B$1:$L$500,3,0)</f>
        <v>-118</v>
      </c>
      <c r="J34" s="181">
        <f>VLOOKUP(" 固定資產(購置)",PKC!$B$1:$L$500,2,0)</f>
        <v>-126</v>
      </c>
      <c r="K34" s="181"/>
      <c r="L34" s="181"/>
    </row>
    <row r="35" spans="1:12">
      <c r="A35" s="182">
        <v>1476</v>
      </c>
      <c r="B35" s="182" t="s">
        <v>21</v>
      </c>
      <c r="C35" s="182">
        <f>VLOOKUP(" 長期投資(新增)",PKA!$B$1:$L$500,9,0)</f>
        <v>-27</v>
      </c>
      <c r="D35" s="182">
        <f>VLOOKUP(" 長期投資(新增)",PKA!$B$1:$L$500,8,0)</f>
        <v>0</v>
      </c>
      <c r="E35" s="182">
        <f>VLOOKUP(" 長期投資(新增)",PKA!$B$1:$L$500,7,0)</f>
        <v>0</v>
      </c>
      <c r="F35" s="182">
        <f>VLOOKUP(" 長期投資(新增)",PKA!$B$1:$L$500,6,0)</f>
        <v>0</v>
      </c>
      <c r="G35" s="182">
        <f>VLOOKUP(" 長期投資(新增)",PKA!$B$1:$L$500,5,0)</f>
        <v>0</v>
      </c>
      <c r="H35" s="182">
        <f>VLOOKUP(" 長期投資(新增)",PKA!$B$1:$L$500,4,0)</f>
        <v>0</v>
      </c>
      <c r="I35" s="182">
        <f>VLOOKUP(" 長期投資(新增)",PKA!$B$1:$L$500,3,0)</f>
        <v>0</v>
      </c>
      <c r="J35" s="182">
        <f>VLOOKUP(" 長期投資(新增)",PKA!$B$1:$L$500,2,0)</f>
        <v>0</v>
      </c>
      <c r="K35" s="182"/>
      <c r="L35" s="182"/>
    </row>
    <row r="36" spans="1:12">
      <c r="A36" s="182">
        <v>1477</v>
      </c>
      <c r="B36" s="182" t="s">
        <v>21</v>
      </c>
      <c r="C36" s="182">
        <f>VLOOKUP(" 長期投資(新增)",PKB!$B$1:$L$500,9,0)</f>
        <v>0</v>
      </c>
      <c r="D36" s="182">
        <f>VLOOKUP(" 長期投資(新增)",PKB!$B$1:$L$500,8,0)</f>
        <v>-133</v>
      </c>
      <c r="E36" s="182">
        <f>VLOOKUP(" 長期投資(新增)",PKB!$B$1:$L$500,7,0)</f>
        <v>0</v>
      </c>
      <c r="F36" s="182">
        <f>VLOOKUP(" 長期投資(新增)",PKB!$B$1:$L$500,6,0)</f>
        <v>-91</v>
      </c>
      <c r="G36" s="182">
        <f>VLOOKUP(" 長期投資(新增)",PKB!$B$1:$L$500,5,0)</f>
        <v>0</v>
      </c>
      <c r="H36" s="182">
        <f>VLOOKUP(" 長期投資(新增)",PKB!$B$1:$L$500,4,0)</f>
        <v>0</v>
      </c>
      <c r="I36" s="182">
        <f>VLOOKUP(" 長期投資(新增)",PKB!$B$1:$L$500,3,0)</f>
        <v>0</v>
      </c>
      <c r="J36" s="182">
        <f>VLOOKUP(" 長期投資(新增)",PKB!$B$1:$L$500,2,0)</f>
        <v>0</v>
      </c>
      <c r="K36" s="182"/>
      <c r="L36" s="182"/>
    </row>
    <row r="37" spans="1:12">
      <c r="A37" s="182">
        <v>4426</v>
      </c>
      <c r="B37" s="182" t="s">
        <v>21</v>
      </c>
      <c r="C37" s="182">
        <f>VLOOKUP(" 長期投資(新增)",PKC!$B$1:$L$500,9,0)</f>
        <v>0</v>
      </c>
      <c r="D37" s="182">
        <f>VLOOKUP(" 長期投資(新增)",PKC!$B$1:$L$500,8,0)</f>
        <v>0</v>
      </c>
      <c r="E37" s="182">
        <f>VLOOKUP(" 長期投資(新增)",PKC!$B$1:$L$500,7,0)</f>
        <v>0</v>
      </c>
      <c r="F37" s="182">
        <f>VLOOKUP(" 長期投資(新增)",PKC!$B$1:$L$500,6,0)</f>
        <v>0</v>
      </c>
      <c r="G37" s="182">
        <f>VLOOKUP(" 長期投資(新增)",PKC!$B$1:$L$500,5,0)</f>
        <v>0</v>
      </c>
      <c r="H37" s="182">
        <f>VLOOKUP(" 長期投資(新增)",PKC!$B$1:$L$500,4,0)</f>
        <v>0</v>
      </c>
      <c r="I37" s="182">
        <f>VLOOKUP(" 長期投資(新增)",PKC!$B$1:$L$500,3,0)</f>
        <v>0</v>
      </c>
      <c r="J37" s="182">
        <f>VLOOKUP(" 長期投資(新增)",PKC!$B$1:$L$500,2,0)</f>
        <v>0</v>
      </c>
      <c r="K37" s="182"/>
      <c r="L37" s="182"/>
    </row>
    <row r="38" spans="1:12">
      <c r="A38" s="183">
        <v>1476</v>
      </c>
      <c r="B38" s="183" t="s">
        <v>119</v>
      </c>
      <c r="C38" s="183">
        <f>VLOOKUP(" 折舊",PKA!$B$1:$L$500,9,0)</f>
        <v>106</v>
      </c>
      <c r="D38" s="183">
        <f>VLOOKUP(" 折舊",PKA!$B$1:$L$500,8,0)</f>
        <v>115</v>
      </c>
      <c r="E38" s="183">
        <f>VLOOKUP(" 折舊",PKA!$B$1:$L$500,7,0)</f>
        <v>115</v>
      </c>
      <c r="F38" s="183">
        <f>VLOOKUP(" 折舊",PKA!$B$1:$L$500,6,0)</f>
        <v>120</v>
      </c>
      <c r="G38" s="183">
        <f>VLOOKUP(" 折舊",PKA!$B$1:$L$500,5,0)</f>
        <v>136</v>
      </c>
      <c r="H38" s="183">
        <f>VLOOKUP(" 折舊",PKA!$B$1:$L$500,4,0)</f>
        <v>171</v>
      </c>
      <c r="I38" s="183">
        <f>VLOOKUP(" 折舊",PKA!$B$1:$L$500,3,0)</f>
        <v>173</v>
      </c>
      <c r="J38" s="183">
        <f>VLOOKUP(" 折舊",PKA!$B$1:$L$500,2,0)</f>
        <v>182</v>
      </c>
      <c r="K38" s="183"/>
      <c r="L38" s="183"/>
    </row>
    <row r="39" spans="1:12">
      <c r="A39" s="183">
        <v>1477</v>
      </c>
      <c r="B39" s="183" t="s">
        <v>119</v>
      </c>
      <c r="C39" s="183">
        <f>VLOOKUP(" 折舊",PKB!$B$1:$L$500,9,0)</f>
        <v>47</v>
      </c>
      <c r="D39" s="183">
        <f>VLOOKUP(" 折舊",PKB!$B$1:$L$500,8,0)</f>
        <v>51</v>
      </c>
      <c r="E39" s="183">
        <f>VLOOKUP(" 折舊",PKB!$B$1:$L$500,7,0)</f>
        <v>57</v>
      </c>
      <c r="F39" s="183">
        <f>VLOOKUP(" 折舊",PKB!$B$1:$L$500,6,0)</f>
        <v>60</v>
      </c>
      <c r="G39" s="183">
        <f>VLOOKUP(" 折舊",PKB!$B$1:$L$500,5,0)</f>
        <v>61</v>
      </c>
      <c r="H39" s="183">
        <f>VLOOKUP(" 折舊",PKB!$B$1:$L$500,4,0)</f>
        <v>69</v>
      </c>
      <c r="I39" s="183">
        <f>VLOOKUP(" 折舊",PKB!$B$1:$L$500,3,0)</f>
        <v>69</v>
      </c>
      <c r="J39" s="183">
        <f>VLOOKUP(" 折舊",PKB!$B$1:$L$500,2,0)</f>
        <v>75</v>
      </c>
      <c r="K39" s="183"/>
      <c r="L39" s="183"/>
    </row>
    <row r="40" spans="1:12">
      <c r="A40" s="183">
        <v>4426</v>
      </c>
      <c r="B40" s="183" t="s">
        <v>119</v>
      </c>
      <c r="C40" s="183">
        <f>VLOOKUP(" 折舊",PKC!$B$1:$L$500,9,0)</f>
        <v>23</v>
      </c>
      <c r="D40" s="183">
        <f>VLOOKUP(" 折舊",PKC!$B$1:$L$500,8,0)</f>
        <v>23</v>
      </c>
      <c r="E40" s="183">
        <f>VLOOKUP(" 折舊",PKC!$B$1:$L$500,7,0)</f>
        <v>26</v>
      </c>
      <c r="F40" s="183">
        <f>VLOOKUP(" 折舊",PKC!$B$1:$L$500,6,0)</f>
        <v>28</v>
      </c>
      <c r="G40" s="183">
        <f>VLOOKUP(" 折舊",PKC!$B$1:$L$500,5,0)</f>
        <v>28</v>
      </c>
      <c r="H40" s="183">
        <f>VLOOKUP(" 折舊",PKC!$B$1:$L$500,4,0)</f>
        <v>29</v>
      </c>
      <c r="I40" s="183">
        <f>VLOOKUP(" 折舊",PKC!$B$1:$L$500,3,0)</f>
        <v>30</v>
      </c>
      <c r="J40" s="183">
        <f>VLOOKUP(" 折舊",PKC!$B$1:$L$500,2,0)</f>
        <v>30</v>
      </c>
      <c r="K40" s="183"/>
      <c r="L40" s="183"/>
    </row>
    <row r="41" spans="1:12">
      <c r="A41" s="184">
        <v>1476</v>
      </c>
      <c r="B41" s="184" t="s">
        <v>249</v>
      </c>
      <c r="C41" s="184">
        <f>VLOOKUP("營業費用",PKA!$B$1:$L$500,9,0)</f>
        <v>484</v>
      </c>
      <c r="D41" s="184">
        <f>VLOOKUP("營業費用",PKA!$B$1:$L$500,8,0)</f>
        <v>540</v>
      </c>
      <c r="E41" s="184">
        <f>VLOOKUP("營業費用",PKA!$B$1:$L$500,7,0)</f>
        <v>462</v>
      </c>
      <c r="F41" s="184">
        <f>VLOOKUP("營業費用",PKA!$B$1:$L$500,6,0)</f>
        <v>474</v>
      </c>
      <c r="G41" s="184">
        <f>VLOOKUP("營業費用",PKA!$B$1:$L$500,5,0)</f>
        <v>478</v>
      </c>
      <c r="H41" s="184">
        <f>VLOOKUP("營業費用",PKA!$B$1:$L$500,4,0)</f>
        <v>551</v>
      </c>
      <c r="I41" s="184">
        <f>VLOOKUP("營業費用",PKA!$B$1:$L$500,3,0)</f>
        <v>485</v>
      </c>
      <c r="J41" s="184">
        <f>VLOOKUP("營業費用",PKA!$B$1:$L$500,2,0)</f>
        <v>521</v>
      </c>
      <c r="K41" s="184"/>
      <c r="L41" s="184"/>
    </row>
    <row r="42" spans="1:12">
      <c r="A42" s="184">
        <v>1477</v>
      </c>
      <c r="B42" s="184" t="s">
        <v>249</v>
      </c>
      <c r="C42" s="184">
        <f>VLOOKUP("營業費用",PKB!$B$1:$L$500,9,0)</f>
        <v>515</v>
      </c>
      <c r="D42" s="184">
        <f>VLOOKUP("營業費用",PKB!$B$1:$L$500,8,0)</f>
        <v>500</v>
      </c>
      <c r="E42" s="184">
        <f>VLOOKUP("營業費用",PKB!$B$1:$L$500,7,0)</f>
        <v>663</v>
      </c>
      <c r="F42" s="184">
        <f>VLOOKUP("營業費用",PKB!$B$1:$L$500,6,0)</f>
        <v>490</v>
      </c>
      <c r="G42" s="184">
        <f>VLOOKUP("營業費用",PKB!$B$1:$L$500,5,0)</f>
        <v>624</v>
      </c>
      <c r="H42" s="184">
        <f>VLOOKUP("營業費用",PKB!$B$1:$L$500,4,0)</f>
        <v>664</v>
      </c>
      <c r="I42" s="184">
        <f>VLOOKUP("營業費用",PKB!$B$1:$L$500,3,0)</f>
        <v>728</v>
      </c>
      <c r="J42" s="184">
        <f>VLOOKUP("營業費用",PKB!$B$1:$L$500,2,0)</f>
        <v>526</v>
      </c>
      <c r="K42" s="184"/>
      <c r="L42" s="184"/>
    </row>
    <row r="43" spans="1:12">
      <c r="A43" s="184">
        <v>4426</v>
      </c>
      <c r="B43" s="184" t="s">
        <v>249</v>
      </c>
      <c r="C43" s="184">
        <f>VLOOKUP("營業費用",PKC!$B$1:$L$500,9,0)</f>
        <v>56</v>
      </c>
      <c r="D43" s="184">
        <f>VLOOKUP("營業費用",PKC!$B$1:$L$500,8,0)</f>
        <v>44</v>
      </c>
      <c r="E43" s="184">
        <f>VLOOKUP("營業費用",PKC!$B$1:$L$500,7,0)</f>
        <v>55</v>
      </c>
      <c r="F43" s="184">
        <f>VLOOKUP("營業費用",PKC!$B$1:$L$500,6,0)</f>
        <v>55</v>
      </c>
      <c r="G43" s="184">
        <f>VLOOKUP("營業費用",PKC!$B$1:$L$500,5,0)</f>
        <v>50</v>
      </c>
      <c r="H43" s="184">
        <f>VLOOKUP("營業費用",PKC!$B$1:$L$500,4,0)</f>
        <v>56</v>
      </c>
      <c r="I43" s="184">
        <f>VLOOKUP("營業費用",PKC!$B$1:$L$500,3,0)</f>
        <v>72</v>
      </c>
      <c r="J43" s="184">
        <f>VLOOKUP("營業費用",PKC!$B$1:$L$500,2,0)</f>
        <v>78</v>
      </c>
      <c r="K43" s="184"/>
      <c r="L43" s="184"/>
    </row>
    <row r="44" spans="1:12">
      <c r="A44" s="186">
        <v>1476</v>
      </c>
      <c r="B44" s="186" t="s">
        <v>1147</v>
      </c>
      <c r="C44" s="186">
        <f>VLOOKUP(" 普通股股本",PKA!$B$1:$L$500,9,0)</f>
        <v>2509</v>
      </c>
      <c r="D44" s="186">
        <f>VLOOKUP(" 普通股股本",PKA!$B$1:$L$500,8,0)</f>
        <v>2509</v>
      </c>
      <c r="E44" s="186">
        <f>VLOOKUP(" 普通股股本",PKA!$B$1:$L$500,7,0)</f>
        <v>2509</v>
      </c>
      <c r="F44" s="186">
        <f>VLOOKUP(" 普通股股本",PKA!$B$1:$L$500,6,0)</f>
        <v>2509</v>
      </c>
      <c r="G44" s="186">
        <f>VLOOKUP(" 普通股股本",PKA!$B$1:$L$500,5,0)</f>
        <v>2610</v>
      </c>
      <c r="H44" s="186">
        <f>VLOOKUP(" 普通股股本",PKA!$B$1:$L$500,4,0)</f>
        <v>2610</v>
      </c>
      <c r="I44" s="186">
        <f>VLOOKUP(" 普通股股本",PKA!$B$1:$L$500,3,0)</f>
        <v>2610</v>
      </c>
      <c r="J44" s="186">
        <f>VLOOKUP(" 普通股股本",PKA!$B$1:$L$500,2,0)</f>
        <v>2610</v>
      </c>
      <c r="K44" s="186"/>
      <c r="L44" s="186"/>
    </row>
    <row r="45" spans="1:12">
      <c r="A45" s="186">
        <v>1477</v>
      </c>
      <c r="B45" s="186" t="s">
        <v>1147</v>
      </c>
      <c r="C45" s="186">
        <f>VLOOKUP(" 普通股股本",PKB!$B$1:$L$500,9,0)</f>
        <v>1685</v>
      </c>
      <c r="D45" s="186">
        <f>VLOOKUP(" 普通股股本",PKB!$B$1:$L$500,8,0)</f>
        <v>1691</v>
      </c>
      <c r="E45" s="186">
        <f>VLOOKUP(" 普通股股本",PKB!$B$1:$L$500,7,0)</f>
        <v>1697</v>
      </c>
      <c r="F45" s="186">
        <f>VLOOKUP(" 普通股股本",PKB!$B$1:$L$500,6,0)</f>
        <v>1705</v>
      </c>
      <c r="G45" s="186">
        <f>VLOOKUP(" 普通股股本",PKB!$B$1:$L$500,5,0)</f>
        <v>1906</v>
      </c>
      <c r="H45" s="186">
        <f>VLOOKUP(" 普通股股本",PKB!$B$1:$L$500,4,0)</f>
        <v>1910</v>
      </c>
      <c r="I45" s="186">
        <f>VLOOKUP(" 普通股股本",PKB!$B$1:$L$500,3,0)</f>
        <v>1913</v>
      </c>
      <c r="J45" s="186">
        <f>VLOOKUP(" 普通股股本",PKB!$B$1:$L$500,2,0)</f>
        <v>1914</v>
      </c>
      <c r="K45" s="186"/>
      <c r="L45" s="186"/>
    </row>
    <row r="46" spans="1:12">
      <c r="A46" s="186">
        <v>4426</v>
      </c>
      <c r="B46" s="186" t="s">
        <v>1147</v>
      </c>
      <c r="C46" s="186">
        <f>VLOOKUP(" 普通股股本",PKC!$B$1:$L$500,9,0)</f>
        <v>640</v>
      </c>
      <c r="D46" s="186">
        <f>VLOOKUP(" 普通股股本",PKC!$B$1:$L$500,8,0)</f>
        <v>694</v>
      </c>
      <c r="E46" s="186">
        <f>VLOOKUP(" 普通股股本",PKC!$B$1:$L$500,7,0)</f>
        <v>694</v>
      </c>
      <c r="F46" s="186">
        <f>VLOOKUP(" 普通股股本",PKC!$B$1:$L$500,6,0)</f>
        <v>694</v>
      </c>
      <c r="G46" s="186">
        <f>VLOOKUP(" 普通股股本",PKC!$B$1:$L$500,5,0)</f>
        <v>766</v>
      </c>
      <c r="H46" s="186">
        <f>VLOOKUP(" 普通股股本",PKC!$B$1:$L$500,4,0)</f>
        <v>766</v>
      </c>
      <c r="I46" s="186">
        <f>VLOOKUP(" 普通股股本",PKC!$B$1:$L$500,3,0)</f>
        <v>766</v>
      </c>
      <c r="J46" s="186">
        <f>VLOOKUP(" 普通股股本",PKC!$B$1:$L$500,2,0)</f>
        <v>766</v>
      </c>
      <c r="K46" s="186"/>
      <c r="L46" s="186"/>
    </row>
    <row r="47" spans="1:12">
      <c r="A47" s="185">
        <v>1476</v>
      </c>
      <c r="B47" s="185" t="s">
        <v>25</v>
      </c>
      <c r="C47" s="187">
        <f>IF(ISNUMBER((C2-C5)/C2),(C2-C5)/C2,0)</f>
        <v>0.28533978624722728</v>
      </c>
      <c r="D47" s="187">
        <f t="shared" ref="D47:J47" si="1">IF(ISNUMBER((D2-D5)/D2),(D2-D5)/D2,0)</f>
        <v>0.27036072889550017</v>
      </c>
      <c r="E47" s="187">
        <f t="shared" si="1"/>
        <v>0.26753014738722641</v>
      </c>
      <c r="F47" s="187">
        <f t="shared" si="1"/>
        <v>0.25010233319688907</v>
      </c>
      <c r="G47" s="187">
        <f t="shared" si="1"/>
        <v>0.25680182552220465</v>
      </c>
      <c r="H47" s="187">
        <f t="shared" si="1"/>
        <v>0.27469295969555441</v>
      </c>
      <c r="I47" s="187">
        <f t="shared" si="1"/>
        <v>0.27556818181818182</v>
      </c>
      <c r="J47" s="187">
        <f t="shared" si="1"/>
        <v>0.27916281932902431</v>
      </c>
      <c r="K47" s="185">
        <f>MIN(C47:J49)</f>
        <v>0.19256822140507063</v>
      </c>
      <c r="L47" s="185">
        <f>MAX(C47:J49)</f>
        <v>0.49806949806949807</v>
      </c>
    </row>
    <row r="48" spans="1:12">
      <c r="A48" s="185">
        <v>1477</v>
      </c>
      <c r="B48" s="185" t="s">
        <v>25</v>
      </c>
      <c r="C48" s="187">
        <f>IF(ISNUMBER((C3-C6)/C3),(C3-C6)/C3,0)</f>
        <v>0.19256822140507063</v>
      </c>
      <c r="D48" s="187">
        <f t="shared" ref="D48:J49" si="2">IF(ISNUMBER((D3-D6)/D3),(D3-D6)/D3,0)</f>
        <v>0.19801064075873237</v>
      </c>
      <c r="E48" s="187">
        <f t="shared" si="2"/>
        <v>0.24151160560138116</v>
      </c>
      <c r="F48" s="187">
        <f t="shared" si="2"/>
        <v>0.22456946039035591</v>
      </c>
      <c r="G48" s="187">
        <f t="shared" si="2"/>
        <v>0.20245295698924731</v>
      </c>
      <c r="H48" s="187">
        <f t="shared" si="2"/>
        <v>0.20208604954367665</v>
      </c>
      <c r="I48" s="187">
        <f t="shared" si="2"/>
        <v>0.25890695261155311</v>
      </c>
      <c r="J48" s="187">
        <f t="shared" si="2"/>
        <v>0.22251256281407036</v>
      </c>
      <c r="K48" s="185"/>
      <c r="L48" s="185"/>
    </row>
    <row r="49" spans="1:12">
      <c r="A49" s="185">
        <v>4426</v>
      </c>
      <c r="B49" s="185" t="s">
        <v>25</v>
      </c>
      <c r="C49" s="187">
        <f>IF(ISNUMBER((C4-C7)/C4),(C4-C7)/C4,0)</f>
        <v>0.34666666666666668</v>
      </c>
      <c r="D49" s="187">
        <f t="shared" si="2"/>
        <v>0.33141210374639768</v>
      </c>
      <c r="E49" s="187">
        <f t="shared" si="2"/>
        <v>0.34782608695652173</v>
      </c>
      <c r="F49" s="187">
        <f t="shared" si="2"/>
        <v>0.34397163120567376</v>
      </c>
      <c r="G49" s="187">
        <f t="shared" si="2"/>
        <v>0.3692722371967655</v>
      </c>
      <c r="H49" s="187">
        <f t="shared" si="2"/>
        <v>0.43209876543209874</v>
      </c>
      <c r="I49" s="187">
        <f t="shared" si="2"/>
        <v>0.49190283400809715</v>
      </c>
      <c r="J49" s="187">
        <f t="shared" si="2"/>
        <v>0.49806949806949807</v>
      </c>
      <c r="K49" s="185"/>
      <c r="L49" s="185"/>
    </row>
    <row r="50" spans="1:12">
      <c r="A50" s="181">
        <v>1476</v>
      </c>
      <c r="B50" s="181" t="s">
        <v>250</v>
      </c>
      <c r="C50" s="188">
        <f t="shared" ref="C50:C55" si="3">D50</f>
        <v>37.39587207140201</v>
      </c>
      <c r="D50" s="188">
        <f t="shared" ref="D50:D55" si="4">IF(ISNUMBER(365/(D2*4/((C14+D14)/2))),365/(D2*4/((C14+D14)/2)),0)</f>
        <v>37.39587207140201</v>
      </c>
      <c r="E50" s="188">
        <f t="shared" ref="E50:J50" si="5">IF(ISNUMBER(365/(E2*4/((D14+E14)/2))),365/(E2*4/((D14+E14)/2)),0)</f>
        <v>44.993300580616342</v>
      </c>
      <c r="F50" s="188">
        <f t="shared" si="5"/>
        <v>43.449268317642243</v>
      </c>
      <c r="G50" s="188">
        <f t="shared" si="5"/>
        <v>41.700785501140949</v>
      </c>
      <c r="H50" s="188">
        <f t="shared" si="5"/>
        <v>43.494097042034255</v>
      </c>
      <c r="I50" s="188">
        <f t="shared" si="5"/>
        <v>47.189656047077925</v>
      </c>
      <c r="J50" s="188">
        <f t="shared" si="5"/>
        <v>40.134272083718066</v>
      </c>
      <c r="K50" s="181">
        <f>MIN(C50:J52)</f>
        <v>6.16354383529956</v>
      </c>
      <c r="L50" s="181">
        <f>MAX(C50:J52)</f>
        <v>72.158687943262407</v>
      </c>
    </row>
    <row r="51" spans="1:12">
      <c r="A51" s="181">
        <v>1477</v>
      </c>
      <c r="B51" s="181" t="s">
        <v>250</v>
      </c>
      <c r="C51" s="188">
        <f t="shared" si="3"/>
        <v>6.16354383529956</v>
      </c>
      <c r="D51" s="188">
        <f t="shared" si="4"/>
        <v>6.16354383529956</v>
      </c>
      <c r="E51" s="188">
        <f t="shared" ref="E51:J55" si="6">IF(ISNUMBER(365/(E3*4/((D15+E15)/2))),365/(E3*4/((D15+E15)/2)),0)</f>
        <v>6.5291099175139076</v>
      </c>
      <c r="F51" s="188">
        <f t="shared" si="6"/>
        <v>8.6745120551090693</v>
      </c>
      <c r="G51" s="188">
        <f t="shared" si="6"/>
        <v>14.771400369623656</v>
      </c>
      <c r="H51" s="188">
        <f t="shared" si="6"/>
        <v>24.397350530825108</v>
      </c>
      <c r="I51" s="188">
        <f t="shared" si="6"/>
        <v>17.999070390868212</v>
      </c>
      <c r="J51" s="188">
        <f t="shared" si="6"/>
        <v>15.617964824120603</v>
      </c>
      <c r="K51" s="181"/>
      <c r="L51" s="181">
        <f>AVERAGE(F51:J51)</f>
        <v>16.292059634109329</v>
      </c>
    </row>
    <row r="52" spans="1:12">
      <c r="A52" s="181">
        <v>4426</v>
      </c>
      <c r="B52" s="181" t="s">
        <v>250</v>
      </c>
      <c r="C52" s="188">
        <f t="shared" si="3"/>
        <v>59.167867435158506</v>
      </c>
      <c r="D52" s="188">
        <f t="shared" si="4"/>
        <v>59.167867435158506</v>
      </c>
      <c r="E52" s="188">
        <f t="shared" si="6"/>
        <v>68.579192546583855</v>
      </c>
      <c r="F52" s="188">
        <f t="shared" si="6"/>
        <v>72.158687943262407</v>
      </c>
      <c r="G52" s="188">
        <f t="shared" si="6"/>
        <v>57.184973045822105</v>
      </c>
      <c r="H52" s="188">
        <f t="shared" si="6"/>
        <v>62.297839506172842</v>
      </c>
      <c r="I52" s="188">
        <f t="shared" si="6"/>
        <v>58.73987854251012</v>
      </c>
      <c r="J52" s="188">
        <f t="shared" si="6"/>
        <v>61.567326254826256</v>
      </c>
      <c r="K52" s="181"/>
      <c r="L52" s="181">
        <f>AVERAGE(F52:J52)</f>
        <v>62.389741058518744</v>
      </c>
    </row>
    <row r="53" spans="1:12">
      <c r="A53" s="182">
        <v>1476</v>
      </c>
      <c r="B53" s="182" t="s">
        <v>251</v>
      </c>
      <c r="C53" s="189">
        <f t="shared" si="3"/>
        <v>75.320782364933734</v>
      </c>
      <c r="D53" s="189">
        <f t="shared" si="4"/>
        <v>75.320782364933734</v>
      </c>
      <c r="E53" s="189">
        <f t="shared" si="6"/>
        <v>91.361280487804876</v>
      </c>
      <c r="F53" s="189">
        <f t="shared" si="6"/>
        <v>83.131140829694317</v>
      </c>
      <c r="G53" s="189">
        <f t="shared" si="6"/>
        <v>72.640086206896555</v>
      </c>
      <c r="H53" s="189">
        <f t="shared" si="6"/>
        <v>70.717117815406624</v>
      </c>
      <c r="I53" s="189">
        <f t="shared" si="6"/>
        <v>87.224264705882348</v>
      </c>
      <c r="J53" s="189">
        <f t="shared" si="6"/>
        <v>76.220244449188741</v>
      </c>
      <c r="K53" s="182">
        <f>MIN(C53:J55)</f>
        <v>51.225641773628936</v>
      </c>
      <c r="L53" s="182">
        <f>MAX(C53:J55)</f>
        <v>98.89527027027026</v>
      </c>
    </row>
    <row r="54" spans="1:12">
      <c r="A54" s="182">
        <v>1477</v>
      </c>
      <c r="B54" s="182" t="s">
        <v>251</v>
      </c>
      <c r="C54" s="189">
        <f t="shared" si="3"/>
        <v>69.06259013556388</v>
      </c>
      <c r="D54" s="189">
        <f t="shared" si="4"/>
        <v>69.06259013556388</v>
      </c>
      <c r="E54" s="189">
        <f t="shared" si="6"/>
        <v>56.610078401618615</v>
      </c>
      <c r="F54" s="189">
        <f t="shared" si="6"/>
        <v>69.741264435889846</v>
      </c>
      <c r="G54" s="189">
        <f t="shared" si="6"/>
        <v>58.081288182009693</v>
      </c>
      <c r="H54" s="189">
        <f t="shared" si="6"/>
        <v>60.279528478057891</v>
      </c>
      <c r="I54" s="189">
        <f t="shared" si="6"/>
        <v>51.225641773628936</v>
      </c>
      <c r="J54" s="189">
        <f t="shared" si="6"/>
        <v>62.551544725956568</v>
      </c>
      <c r="K54" s="182"/>
      <c r="L54" s="182">
        <f>AVERAGE(F54:J54)</f>
        <v>60.375853519108581</v>
      </c>
    </row>
    <row r="55" spans="1:12">
      <c r="A55" s="182">
        <v>4426</v>
      </c>
      <c r="B55" s="182" t="s">
        <v>251</v>
      </c>
      <c r="C55" s="189">
        <f t="shared" si="3"/>
        <v>94.593211206896541</v>
      </c>
      <c r="D55" s="189">
        <f t="shared" si="4"/>
        <v>94.593211206896541</v>
      </c>
      <c r="E55" s="189">
        <f t="shared" si="6"/>
        <v>92.336309523809518</v>
      </c>
      <c r="F55" s="189">
        <f t="shared" si="6"/>
        <v>98.89527027027026</v>
      </c>
      <c r="G55" s="189">
        <f t="shared" si="6"/>
        <v>75.651709401709411</v>
      </c>
      <c r="H55" s="189">
        <f t="shared" si="6"/>
        <v>75.182065217391298</v>
      </c>
      <c r="I55" s="189">
        <f t="shared" si="6"/>
        <v>71.982071713147405</v>
      </c>
      <c r="J55" s="189">
        <f t="shared" si="6"/>
        <v>74.930288461538467</v>
      </c>
      <c r="K55" s="182"/>
      <c r="L55" s="182">
        <f>AVERAGE(F55:J55)</f>
        <v>79.32828101281136</v>
      </c>
    </row>
    <row r="56" spans="1:12">
      <c r="A56" s="183">
        <v>1476</v>
      </c>
      <c r="B56" s="183" t="s">
        <v>252</v>
      </c>
      <c r="C56" s="190">
        <f t="shared" ref="C56:J56" si="7">C20/C23</f>
        <v>0.41357182963022376</v>
      </c>
      <c r="D56" s="190">
        <f t="shared" si="7"/>
        <v>0.35302088315000796</v>
      </c>
      <c r="E56" s="190">
        <f t="shared" si="7"/>
        <v>0.34141610087293889</v>
      </c>
      <c r="F56" s="190">
        <f t="shared" si="7"/>
        <v>0.4583780688569179</v>
      </c>
      <c r="G56" s="190">
        <f t="shared" si="7"/>
        <v>0.39011937293254711</v>
      </c>
      <c r="H56" s="190">
        <f t="shared" si="7"/>
        <v>0.36495812395309885</v>
      </c>
      <c r="I56" s="190">
        <f t="shared" si="7"/>
        <v>0.35797000569512116</v>
      </c>
      <c r="J56" s="190">
        <f t="shared" si="7"/>
        <v>0.46608211386930504</v>
      </c>
      <c r="K56" s="183">
        <f>MIN(C56:J58)</f>
        <v>0.31404958677685951</v>
      </c>
      <c r="L56" s="183">
        <f>MAX(C56:J58)</f>
        <v>0.60275974025974022</v>
      </c>
    </row>
    <row r="57" spans="1:12">
      <c r="A57" s="183">
        <v>1477</v>
      </c>
      <c r="B57" s="183" t="s">
        <v>252</v>
      </c>
      <c r="C57" s="190">
        <f>IF(ISNUMBER(C21/C24),C21/C24,0)</f>
        <v>0.40019309678976589</v>
      </c>
      <c r="D57" s="190">
        <f t="shared" ref="D57:J57" si="8">D21/D24</f>
        <v>0.47201584943041108</v>
      </c>
      <c r="E57" s="190">
        <f t="shared" si="8"/>
        <v>0.45168539325842699</v>
      </c>
      <c r="F57" s="190">
        <f t="shared" si="8"/>
        <v>0.60275974025974022</v>
      </c>
      <c r="G57" s="190">
        <f t="shared" si="8"/>
        <v>0.36147186147186144</v>
      </c>
      <c r="H57" s="190">
        <f t="shared" si="8"/>
        <v>0.31440720360180091</v>
      </c>
      <c r="I57" s="190">
        <f t="shared" si="8"/>
        <v>0.31404958677685951</v>
      </c>
      <c r="J57" s="190">
        <f t="shared" si="8"/>
        <v>0.45575562250402857</v>
      </c>
      <c r="K57" s="183"/>
      <c r="L57" s="183"/>
    </row>
    <row r="58" spans="1:12">
      <c r="A58" s="183">
        <v>4426</v>
      </c>
      <c r="B58" s="183" t="s">
        <v>252</v>
      </c>
      <c r="C58" s="190">
        <f>IF(ISNUMBER(C22/C25),C22/C25,0)</f>
        <v>0.39339019189765456</v>
      </c>
      <c r="D58" s="190">
        <f t="shared" ref="D58:J58" si="9">IF(ISNUMBER(D22/D25),D22/D25,0)</f>
        <v>0.35256064690026956</v>
      </c>
      <c r="E58" s="190">
        <f t="shared" si="9"/>
        <v>0.33208955223880599</v>
      </c>
      <c r="F58" s="190">
        <f t="shared" si="9"/>
        <v>0.33546325878594252</v>
      </c>
      <c r="G58" s="190">
        <f t="shared" si="9"/>
        <v>0.34210526315789475</v>
      </c>
      <c r="H58" s="190">
        <f t="shared" si="9"/>
        <v>0.35060838215412349</v>
      </c>
      <c r="I58" s="190">
        <f t="shared" si="9"/>
        <v>0.33669609079445145</v>
      </c>
      <c r="J58" s="190">
        <f t="shared" si="9"/>
        <v>0.36166158536585363</v>
      </c>
      <c r="K58" s="183"/>
      <c r="L58" s="183"/>
    </row>
    <row r="59" spans="1:12">
      <c r="A59" s="184">
        <v>1476</v>
      </c>
      <c r="B59" s="184" t="s">
        <v>253</v>
      </c>
      <c r="C59" s="191">
        <f>IF(C8&gt;0,IF(C26&gt;C8,IF(ISNUMBER(C26/C8),C26/C8,0),0),0)</f>
        <v>0</v>
      </c>
      <c r="D59" s="191">
        <f t="shared" ref="D59:J59" si="10">IF(D8&gt;0,IF(D26&gt;D8,IF(ISNUMBER(D26/D8),D26/D8,0),0),0)</f>
        <v>1.5741444866920151</v>
      </c>
      <c r="E59" s="191">
        <f t="shared" si="10"/>
        <v>0</v>
      </c>
      <c r="F59" s="191">
        <f t="shared" si="10"/>
        <v>0</v>
      </c>
      <c r="G59" s="191">
        <f t="shared" si="10"/>
        <v>1.0381062355658199</v>
      </c>
      <c r="H59" s="191">
        <f t="shared" si="10"/>
        <v>1.5472312703583062</v>
      </c>
      <c r="I59" s="191">
        <f t="shared" si="10"/>
        <v>1.1375358166189111</v>
      </c>
      <c r="J59" s="191">
        <f t="shared" si="10"/>
        <v>0</v>
      </c>
      <c r="K59" s="184"/>
      <c r="L59" s="184">
        <f>AVERAGE(F59:J59)</f>
        <v>0.74457466450860754</v>
      </c>
    </row>
    <row r="60" spans="1:12">
      <c r="A60" s="184">
        <v>1477</v>
      </c>
      <c r="B60" s="184" t="s">
        <v>253</v>
      </c>
      <c r="C60" s="191">
        <f>IF(C9&gt;0,IF(C27&gt;C9,IF(ISNUMBER(C27/C9),C27/C9,0),0),0)</f>
        <v>0</v>
      </c>
      <c r="D60" s="191">
        <f t="shared" ref="D60:J61" si="11">IF(D9&gt;0,IF(D27&gt;D9,IF(ISNUMBER(D27/D9),D27/D9,0),0),0)</f>
        <v>3.7593220338983051</v>
      </c>
      <c r="E60" s="191">
        <f t="shared" si="11"/>
        <v>0</v>
      </c>
      <c r="F60" s="191">
        <f t="shared" si="11"/>
        <v>0</v>
      </c>
      <c r="G60" s="191">
        <f t="shared" si="11"/>
        <v>0</v>
      </c>
      <c r="H60" s="191">
        <f t="shared" si="11"/>
        <v>3.1527093596059115</v>
      </c>
      <c r="I60" s="191">
        <f t="shared" si="11"/>
        <v>0</v>
      </c>
      <c r="J60" s="191">
        <f t="shared" si="11"/>
        <v>0</v>
      </c>
      <c r="K60" s="184"/>
      <c r="L60" s="184"/>
    </row>
    <row r="61" spans="1:12">
      <c r="A61" s="184">
        <v>4426</v>
      </c>
      <c r="B61" s="184" t="s">
        <v>253</v>
      </c>
      <c r="C61" s="191">
        <f>IF(C10&gt;0,IF(C28&gt;C10,IF(ISNUMBER(C28/C10),C28/C10,0),0),0)</f>
        <v>0</v>
      </c>
      <c r="D61" s="191">
        <f t="shared" si="11"/>
        <v>1.671875</v>
      </c>
      <c r="E61" s="191">
        <f t="shared" si="11"/>
        <v>1.8846153846153846</v>
      </c>
      <c r="F61" s="191">
        <f t="shared" si="11"/>
        <v>4.16</v>
      </c>
      <c r="G61" s="191">
        <f t="shared" si="11"/>
        <v>0</v>
      </c>
      <c r="H61" s="191">
        <f t="shared" si="11"/>
        <v>1.8</v>
      </c>
      <c r="I61" s="191">
        <f t="shared" si="11"/>
        <v>0</v>
      </c>
      <c r="J61" s="191">
        <f t="shared" si="11"/>
        <v>0</v>
      </c>
      <c r="K61" s="184"/>
      <c r="L61" s="184"/>
    </row>
    <row r="62" spans="1:12">
      <c r="A62" s="185">
        <v>1476</v>
      </c>
      <c r="B62" s="185" t="s">
        <v>254</v>
      </c>
      <c r="C62" s="192">
        <f>C38/C5</f>
        <v>2.9909706546275394E-2</v>
      </c>
      <c r="D62" s="192">
        <f t="shared" ref="D62:J62" si="12">D38/D5</f>
        <v>2.9306829765545363E-2</v>
      </c>
      <c r="E62" s="192">
        <f t="shared" si="12"/>
        <v>3.5060975609756101E-2</v>
      </c>
      <c r="F62" s="192">
        <f t="shared" si="12"/>
        <v>3.2751091703056769E-2</v>
      </c>
      <c r="G62" s="192">
        <f t="shared" si="12"/>
        <v>3.2120925838450637E-2</v>
      </c>
      <c r="H62" s="192">
        <f t="shared" si="12"/>
        <v>4.0782256141187696E-2</v>
      </c>
      <c r="I62" s="192">
        <f t="shared" si="12"/>
        <v>4.8459383753501402E-2</v>
      </c>
      <c r="J62" s="192">
        <f t="shared" si="12"/>
        <v>3.8855678906917164E-2</v>
      </c>
      <c r="K62" s="185"/>
      <c r="L62" s="185"/>
    </row>
    <row r="63" spans="1:12">
      <c r="A63" s="185">
        <v>1477</v>
      </c>
      <c r="B63" s="185" t="s">
        <v>254</v>
      </c>
      <c r="C63" s="192">
        <f>C39/C6</f>
        <v>1.1265580057526366E-2</v>
      </c>
      <c r="D63" s="192">
        <f t="shared" ref="D63:J64" si="13">D39/D6</f>
        <v>1.471012402653591E-2</v>
      </c>
      <c r="E63" s="192">
        <f t="shared" si="13"/>
        <v>1.4415781487101669E-2</v>
      </c>
      <c r="F63" s="192">
        <f t="shared" si="13"/>
        <v>1.7767249037607343E-2</v>
      </c>
      <c r="G63" s="192">
        <f t="shared" si="13"/>
        <v>1.2850221192331999E-2</v>
      </c>
      <c r="H63" s="192">
        <f t="shared" si="13"/>
        <v>1.6106442577030811E-2</v>
      </c>
      <c r="I63" s="192">
        <f t="shared" si="13"/>
        <v>1.6102683780630105E-2</v>
      </c>
      <c r="J63" s="192">
        <f t="shared" si="13"/>
        <v>1.9389865563598761E-2</v>
      </c>
      <c r="K63" s="185"/>
      <c r="L63" s="185"/>
    </row>
    <row r="64" spans="1:12">
      <c r="A64" s="185">
        <v>4426</v>
      </c>
      <c r="B64" s="185" t="s">
        <v>254</v>
      </c>
      <c r="C64" s="192">
        <f>C40/C7</f>
        <v>0.11734693877551021</v>
      </c>
      <c r="D64" s="192">
        <f t="shared" si="13"/>
        <v>9.9137931034482762E-2</v>
      </c>
      <c r="E64" s="192">
        <f t="shared" si="13"/>
        <v>0.12380952380952381</v>
      </c>
      <c r="F64" s="192">
        <f t="shared" si="13"/>
        <v>0.15135135135135136</v>
      </c>
      <c r="G64" s="192">
        <f t="shared" si="13"/>
        <v>0.11965811965811966</v>
      </c>
      <c r="H64" s="192">
        <f t="shared" si="13"/>
        <v>0.12608695652173912</v>
      </c>
      <c r="I64" s="192">
        <f t="shared" si="13"/>
        <v>0.11952191235059761</v>
      </c>
      <c r="J64" s="192">
        <f t="shared" si="13"/>
        <v>0.11538461538461539</v>
      </c>
      <c r="K64" s="185"/>
      <c r="L64" s="185"/>
    </row>
    <row r="65" spans="1:12">
      <c r="A65" s="181">
        <v>1476</v>
      </c>
      <c r="B65" s="181" t="s">
        <v>255</v>
      </c>
      <c r="C65" s="193">
        <f>C41/C2</f>
        <v>9.7600322645694695E-2</v>
      </c>
      <c r="D65" s="193">
        <f t="shared" ref="D65:J65" si="14">D41/D2</f>
        <v>0.10040907400520639</v>
      </c>
      <c r="E65" s="193">
        <f t="shared" si="14"/>
        <v>0.10317105850826262</v>
      </c>
      <c r="F65" s="193">
        <f t="shared" si="14"/>
        <v>9.7011870650839133E-2</v>
      </c>
      <c r="G65" s="193">
        <f t="shared" si="14"/>
        <v>8.3903809022292442E-2</v>
      </c>
      <c r="H65" s="193">
        <f t="shared" si="14"/>
        <v>9.531222971804186E-2</v>
      </c>
      <c r="I65" s="193">
        <f t="shared" si="14"/>
        <v>9.8417207792207792E-2</v>
      </c>
      <c r="J65" s="193">
        <f t="shared" si="14"/>
        <v>8.0178516466605107E-2</v>
      </c>
      <c r="K65" s="181"/>
      <c r="L65" s="181"/>
    </row>
    <row r="66" spans="1:12">
      <c r="A66" s="181">
        <v>1477</v>
      </c>
      <c r="B66" s="181" t="s">
        <v>255</v>
      </c>
      <c r="C66" s="193">
        <f>C42/C3</f>
        <v>9.9670988968453653E-2</v>
      </c>
      <c r="D66" s="193">
        <f t="shared" ref="D66:J67" si="15">D42/D3</f>
        <v>0.11566042100393245</v>
      </c>
      <c r="E66" s="193">
        <f t="shared" si="15"/>
        <v>0.12718204488778054</v>
      </c>
      <c r="F66" s="193">
        <f t="shared" si="15"/>
        <v>0.11251435132032148</v>
      </c>
      <c r="G66" s="193">
        <f t="shared" si="15"/>
        <v>0.10483870967741936</v>
      </c>
      <c r="H66" s="193">
        <f t="shared" si="15"/>
        <v>0.12367293723225926</v>
      </c>
      <c r="I66" s="193">
        <f t="shared" si="15"/>
        <v>0.12590799031476999</v>
      </c>
      <c r="J66" s="193">
        <f t="shared" si="15"/>
        <v>0.1057286432160804</v>
      </c>
      <c r="K66" s="181"/>
      <c r="L66" s="181"/>
    </row>
    <row r="67" spans="1:12">
      <c r="A67" s="181">
        <v>4426</v>
      </c>
      <c r="B67" s="181" t="s">
        <v>255</v>
      </c>
      <c r="C67" s="193">
        <f>C43/C4</f>
        <v>0.18666666666666668</v>
      </c>
      <c r="D67" s="193">
        <f t="shared" si="15"/>
        <v>0.12680115273775217</v>
      </c>
      <c r="E67" s="193">
        <f t="shared" si="15"/>
        <v>0.17080745341614906</v>
      </c>
      <c r="F67" s="193">
        <f t="shared" si="15"/>
        <v>0.19503546099290781</v>
      </c>
      <c r="G67" s="193">
        <f t="shared" si="15"/>
        <v>0.13477088948787061</v>
      </c>
      <c r="H67" s="193">
        <f t="shared" si="15"/>
        <v>0.13827160493827159</v>
      </c>
      <c r="I67" s="193">
        <f t="shared" si="15"/>
        <v>0.145748987854251</v>
      </c>
      <c r="J67" s="193">
        <f t="shared" si="15"/>
        <v>0.15057915057915058</v>
      </c>
      <c r="K67" s="181"/>
      <c r="L67" s="181"/>
    </row>
    <row r="68" spans="1:12">
      <c r="A68" s="182">
        <v>1476</v>
      </c>
      <c r="B68" s="182" t="s">
        <v>1149</v>
      </c>
      <c r="C68" s="194">
        <f t="shared" ref="C68:J70" si="16">ROUND((C2/C44)*10,2)</f>
        <v>19.760000000000002</v>
      </c>
      <c r="D68" s="194">
        <f t="shared" si="16"/>
        <v>21.43</v>
      </c>
      <c r="E68" s="194">
        <f t="shared" si="16"/>
        <v>17.850000000000001</v>
      </c>
      <c r="F68" s="194">
        <f t="shared" si="16"/>
        <v>19.47</v>
      </c>
      <c r="G68" s="194">
        <f t="shared" si="16"/>
        <v>21.83</v>
      </c>
      <c r="H68" s="194">
        <f t="shared" si="16"/>
        <v>22.15</v>
      </c>
      <c r="I68" s="194">
        <f t="shared" si="16"/>
        <v>18.88</v>
      </c>
      <c r="J68" s="194">
        <f t="shared" si="16"/>
        <v>24.9</v>
      </c>
      <c r="K68" s="182"/>
      <c r="L68" s="182"/>
    </row>
    <row r="69" spans="1:12">
      <c r="A69" s="182">
        <v>1477</v>
      </c>
      <c r="B69" s="182" t="s">
        <v>1149</v>
      </c>
      <c r="C69" s="194">
        <f t="shared" si="16"/>
        <v>30.66</v>
      </c>
      <c r="D69" s="194">
        <f t="shared" si="16"/>
        <v>25.56</v>
      </c>
      <c r="E69" s="194">
        <f t="shared" si="16"/>
        <v>30.72</v>
      </c>
      <c r="F69" s="194">
        <f t="shared" si="16"/>
        <v>25.54</v>
      </c>
      <c r="G69" s="194">
        <f t="shared" si="16"/>
        <v>31.23</v>
      </c>
      <c r="H69" s="194">
        <f t="shared" si="16"/>
        <v>28.11</v>
      </c>
      <c r="I69" s="194">
        <f t="shared" si="16"/>
        <v>30.22</v>
      </c>
      <c r="J69" s="194">
        <f t="shared" si="16"/>
        <v>25.99</v>
      </c>
      <c r="K69" s="182"/>
      <c r="L69" s="182"/>
    </row>
    <row r="70" spans="1:12">
      <c r="A70" s="182">
        <v>4426</v>
      </c>
      <c r="B70" s="182" t="s">
        <v>1149</v>
      </c>
      <c r="C70" s="182">
        <f t="shared" si="16"/>
        <v>4.6900000000000004</v>
      </c>
      <c r="D70" s="182">
        <f t="shared" si="16"/>
        <v>5</v>
      </c>
      <c r="E70" s="182">
        <f t="shared" si="16"/>
        <v>4.6399999999999997</v>
      </c>
      <c r="F70" s="182">
        <f t="shared" si="16"/>
        <v>4.0599999999999996</v>
      </c>
      <c r="G70" s="182">
        <f t="shared" si="16"/>
        <v>4.84</v>
      </c>
      <c r="H70" s="182">
        <f t="shared" si="16"/>
        <v>5.29</v>
      </c>
      <c r="I70" s="182">
        <f t="shared" si="16"/>
        <v>6.45</v>
      </c>
      <c r="J70" s="182">
        <f t="shared" si="16"/>
        <v>6.76</v>
      </c>
      <c r="K70" s="182"/>
      <c r="L70" s="182"/>
    </row>
    <row r="71" spans="1:12">
      <c r="A71" s="195">
        <v>1476</v>
      </c>
      <c r="B71" s="195" t="s">
        <v>1148</v>
      </c>
      <c r="C71" s="195">
        <f t="shared" ref="C71:J73" si="17">ROUND((C26/C44)*10,2)</f>
        <v>2.31</v>
      </c>
      <c r="D71" s="195">
        <f t="shared" si="17"/>
        <v>4.95</v>
      </c>
      <c r="E71" s="195">
        <f t="shared" si="17"/>
        <v>2.25</v>
      </c>
      <c r="F71" s="195">
        <f t="shared" si="17"/>
        <v>1.02</v>
      </c>
      <c r="G71" s="195">
        <f t="shared" si="17"/>
        <v>3.44</v>
      </c>
      <c r="H71" s="195">
        <f t="shared" si="17"/>
        <v>5.46</v>
      </c>
      <c r="I71" s="195">
        <f t="shared" si="17"/>
        <v>3.04</v>
      </c>
      <c r="J71" s="195">
        <f t="shared" si="17"/>
        <v>0.03</v>
      </c>
      <c r="K71" s="195"/>
      <c r="L71" s="195"/>
    </row>
    <row r="72" spans="1:12">
      <c r="A72" s="195">
        <v>1477</v>
      </c>
      <c r="B72" s="195" t="s">
        <v>1148</v>
      </c>
      <c r="C72" s="195">
        <f t="shared" si="17"/>
        <v>-2.5499999999999998</v>
      </c>
      <c r="D72" s="195">
        <f t="shared" si="17"/>
        <v>6.56</v>
      </c>
      <c r="E72" s="195">
        <f t="shared" si="17"/>
        <v>0.57999999999999996</v>
      </c>
      <c r="F72" s="195">
        <f t="shared" si="17"/>
        <v>1.62</v>
      </c>
      <c r="G72" s="195">
        <f t="shared" si="17"/>
        <v>-1.39</v>
      </c>
      <c r="H72" s="195">
        <f t="shared" si="17"/>
        <v>6.7</v>
      </c>
      <c r="I72" s="195">
        <f t="shared" si="17"/>
        <v>1.6</v>
      </c>
      <c r="J72" s="195">
        <f t="shared" si="17"/>
        <v>1.37</v>
      </c>
      <c r="K72" s="195"/>
      <c r="L72" s="195"/>
    </row>
    <row r="73" spans="1:12">
      <c r="A73" s="195">
        <v>4426</v>
      </c>
      <c r="B73" s="195" t="s">
        <v>1148</v>
      </c>
      <c r="C73" s="195">
        <f t="shared" si="17"/>
        <v>-0.3</v>
      </c>
      <c r="D73" s="195">
        <f t="shared" si="17"/>
        <v>1.54</v>
      </c>
      <c r="E73" s="195">
        <f t="shared" si="17"/>
        <v>1.41</v>
      </c>
      <c r="F73" s="195">
        <f t="shared" si="17"/>
        <v>1.5</v>
      </c>
      <c r="G73" s="195">
        <f t="shared" si="17"/>
        <v>0.39</v>
      </c>
      <c r="H73" s="195">
        <f t="shared" si="17"/>
        <v>2.7</v>
      </c>
      <c r="I73" s="195">
        <f t="shared" si="17"/>
        <v>1.66</v>
      </c>
      <c r="J73" s="195">
        <f t="shared" si="17"/>
        <v>1.31</v>
      </c>
      <c r="K73" s="195"/>
      <c r="L73" s="195"/>
    </row>
    <row r="74" spans="1:12">
      <c r="A74" s="196">
        <v>1476</v>
      </c>
      <c r="B74" s="196" t="s">
        <v>2479</v>
      </c>
      <c r="C74" s="196">
        <f>IF(C32&lt;0,ROUND((-C32/C44)*10,2),0)</f>
        <v>1.83</v>
      </c>
      <c r="D74" s="196">
        <f t="shared" ref="D74:J74" si="18">IF(D32&lt;0,ROUND((-D32/D44)*10,2),0)</f>
        <v>1.83</v>
      </c>
      <c r="E74" s="196">
        <f t="shared" si="18"/>
        <v>2.4500000000000002</v>
      </c>
      <c r="F74" s="196">
        <f t="shared" si="18"/>
        <v>2.46</v>
      </c>
      <c r="G74" s="196">
        <f t="shared" si="18"/>
        <v>0.73</v>
      </c>
      <c r="H74" s="196">
        <f t="shared" si="18"/>
        <v>0.88</v>
      </c>
      <c r="I74" s="196">
        <f t="shared" si="18"/>
        <v>0.57999999999999996</v>
      </c>
      <c r="J74" s="196">
        <f t="shared" si="18"/>
        <v>0.78</v>
      </c>
      <c r="K74" s="196"/>
      <c r="L74" s="196"/>
    </row>
    <row r="75" spans="1:12">
      <c r="A75" s="196">
        <v>1477</v>
      </c>
      <c r="B75" s="196" t="s">
        <v>2479</v>
      </c>
      <c r="C75" s="196">
        <f>IF(C33&lt;0,ROUND((-C33/C45)*10,2),0)</f>
        <v>1.0900000000000001</v>
      </c>
      <c r="D75" s="196">
        <f t="shared" ref="D75:J75" si="19">IF(D33&lt;0,ROUND((-D33/D45)*10,2),0)</f>
        <v>17.059999999999999</v>
      </c>
      <c r="E75" s="196">
        <f t="shared" si="19"/>
        <v>0.38</v>
      </c>
      <c r="F75" s="196">
        <f t="shared" si="19"/>
        <v>0.92</v>
      </c>
      <c r="G75" s="196">
        <f t="shared" si="19"/>
        <v>0.61</v>
      </c>
      <c r="H75" s="196">
        <f t="shared" si="19"/>
        <v>0.34</v>
      </c>
      <c r="I75" s="196">
        <f t="shared" si="19"/>
        <v>0.41</v>
      </c>
      <c r="J75" s="196">
        <f t="shared" si="19"/>
        <v>1.17</v>
      </c>
      <c r="K75" s="196"/>
      <c r="L75" s="196"/>
    </row>
    <row r="76" spans="1:12">
      <c r="A76" s="196">
        <v>4426</v>
      </c>
      <c r="B76" s="196" t="s">
        <v>2479</v>
      </c>
      <c r="C76" s="196">
        <f>IF(C34&lt;0,ROUND((-C34/C46)*10,2),0)</f>
        <v>0.73</v>
      </c>
      <c r="D76" s="196">
        <f t="shared" ref="D76:J76" si="20">IF(D34&lt;0,ROUND((-D34/D46)*10,2),0)</f>
        <v>0.32</v>
      </c>
      <c r="E76" s="196">
        <f t="shared" si="20"/>
        <v>0.52</v>
      </c>
      <c r="F76" s="196">
        <f t="shared" si="20"/>
        <v>1.2</v>
      </c>
      <c r="G76" s="196">
        <f t="shared" si="20"/>
        <v>0.14000000000000001</v>
      </c>
      <c r="H76" s="196">
        <f t="shared" si="20"/>
        <v>0.73</v>
      </c>
      <c r="I76" s="196">
        <f t="shared" si="20"/>
        <v>1.54</v>
      </c>
      <c r="J76" s="196">
        <f t="shared" si="20"/>
        <v>1.64</v>
      </c>
      <c r="K76" s="196"/>
      <c r="L76" s="196"/>
    </row>
  </sheetData>
  <sheetProtection sheet="1" objects="1" scenarios="1"/>
  <phoneticPr fontId="2"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J246"/>
  <sheetViews>
    <sheetView workbookViewId="0">
      <selection sqref="A1:XFD1000"/>
    </sheetView>
  </sheetViews>
  <sheetFormatPr defaultRowHeight="16.5"/>
  <cols>
    <col min="2" max="2" width="81" customWidth="1"/>
    <col min="3" max="10" width="7.375" customWidth="1"/>
  </cols>
  <sheetData>
    <row r="2" spans="2:10">
      <c r="B2" t="s">
        <v>2487</v>
      </c>
    </row>
    <row r="3" spans="2:10">
      <c r="B3" t="s">
        <v>49</v>
      </c>
    </row>
    <row r="4" spans="2:10">
      <c r="B4" t="s">
        <v>52</v>
      </c>
      <c r="C4" t="s">
        <v>263</v>
      </c>
      <c r="D4" t="s">
        <v>53</v>
      </c>
      <c r="E4" t="s">
        <v>54</v>
      </c>
      <c r="F4" t="s">
        <v>55</v>
      </c>
      <c r="G4" t="s">
        <v>56</v>
      </c>
      <c r="H4" t="s">
        <v>57</v>
      </c>
      <c r="I4" t="s">
        <v>58</v>
      </c>
      <c r="J4" t="s">
        <v>59</v>
      </c>
    </row>
    <row r="5" spans="2:10">
      <c r="B5" t="s">
        <v>10</v>
      </c>
      <c r="C5" s="83">
        <v>6498</v>
      </c>
      <c r="D5" s="83">
        <v>4928</v>
      </c>
      <c r="E5" s="83">
        <v>5781</v>
      </c>
      <c r="F5" s="83">
        <v>5697</v>
      </c>
      <c r="G5" s="83">
        <v>4886</v>
      </c>
      <c r="H5" s="83">
        <v>4478</v>
      </c>
      <c r="I5" s="83">
        <v>5378</v>
      </c>
      <c r="J5" s="83">
        <v>4959</v>
      </c>
    </row>
    <row r="6" spans="2:10">
      <c r="B6" t="s">
        <v>11</v>
      </c>
      <c r="C6" s="83">
        <v>4684</v>
      </c>
      <c r="D6" s="83">
        <v>3570</v>
      </c>
      <c r="E6" s="83">
        <v>4193</v>
      </c>
      <c r="F6" s="83">
        <v>4234</v>
      </c>
      <c r="G6" s="83">
        <v>3664</v>
      </c>
      <c r="H6" s="83">
        <v>3280</v>
      </c>
      <c r="I6" s="83">
        <v>3924</v>
      </c>
      <c r="J6" s="83">
        <v>3544</v>
      </c>
    </row>
    <row r="7" spans="2:10">
      <c r="B7" t="s">
        <v>60</v>
      </c>
      <c r="C7" s="83">
        <v>1814</v>
      </c>
      <c r="D7" s="83">
        <v>1359</v>
      </c>
      <c r="E7" s="83">
        <v>1588</v>
      </c>
      <c r="F7" s="83">
        <v>1463</v>
      </c>
      <c r="G7" s="83">
        <v>1222</v>
      </c>
      <c r="H7" s="83">
        <v>1198</v>
      </c>
      <c r="I7" s="83">
        <v>1455</v>
      </c>
      <c r="J7" s="83">
        <v>1415</v>
      </c>
    </row>
    <row r="8" spans="2:10">
      <c r="B8" t="s">
        <v>61</v>
      </c>
      <c r="C8">
        <v>0</v>
      </c>
      <c r="D8">
        <v>0</v>
      </c>
      <c r="E8">
        <v>0</v>
      </c>
      <c r="F8">
        <v>0</v>
      </c>
      <c r="G8">
        <v>0</v>
      </c>
      <c r="H8">
        <v>0</v>
      </c>
      <c r="I8">
        <v>0</v>
      </c>
      <c r="J8">
        <v>0</v>
      </c>
    </row>
    <row r="9" spans="2:10">
      <c r="B9" t="s">
        <v>62</v>
      </c>
      <c r="C9" s="83">
        <v>1814</v>
      </c>
      <c r="D9" s="83">
        <v>1359</v>
      </c>
      <c r="E9" s="83">
        <v>1588</v>
      </c>
      <c r="F9" s="83">
        <v>1463</v>
      </c>
      <c r="G9" s="83">
        <v>1222</v>
      </c>
      <c r="H9" s="83">
        <v>1198</v>
      </c>
      <c r="I9" s="83">
        <v>1455</v>
      </c>
      <c r="J9" s="83">
        <v>1415</v>
      </c>
    </row>
    <row r="10" spans="2:10">
      <c r="B10" t="s">
        <v>63</v>
      </c>
      <c r="C10">
        <v>521</v>
      </c>
      <c r="D10">
        <v>485</v>
      </c>
      <c r="E10">
        <v>551</v>
      </c>
      <c r="F10">
        <v>478</v>
      </c>
      <c r="G10">
        <v>474</v>
      </c>
      <c r="H10">
        <v>462</v>
      </c>
      <c r="I10">
        <v>540</v>
      </c>
      <c r="J10">
        <v>484</v>
      </c>
    </row>
    <row r="11" spans="2:10">
      <c r="B11" t="s">
        <v>64</v>
      </c>
      <c r="C11">
        <v>288</v>
      </c>
      <c r="D11">
        <v>256</v>
      </c>
      <c r="E11">
        <v>324</v>
      </c>
      <c r="F11">
        <v>268</v>
      </c>
      <c r="G11">
        <v>266</v>
      </c>
      <c r="H11">
        <v>318</v>
      </c>
      <c r="I11">
        <v>286</v>
      </c>
      <c r="J11">
        <v>236</v>
      </c>
    </row>
    <row r="12" spans="2:10">
      <c r="B12" t="s">
        <v>65</v>
      </c>
      <c r="C12">
        <v>201</v>
      </c>
      <c r="D12">
        <v>201</v>
      </c>
      <c r="E12">
        <v>200</v>
      </c>
      <c r="F12">
        <v>180</v>
      </c>
      <c r="G12">
        <v>181</v>
      </c>
      <c r="H12">
        <v>120</v>
      </c>
      <c r="I12">
        <v>227</v>
      </c>
      <c r="J12">
        <v>218</v>
      </c>
    </row>
    <row r="13" spans="2:10">
      <c r="B13" t="s">
        <v>66</v>
      </c>
      <c r="C13">
        <v>32</v>
      </c>
      <c r="D13">
        <v>29</v>
      </c>
      <c r="E13">
        <v>26</v>
      </c>
      <c r="F13">
        <v>30</v>
      </c>
      <c r="G13">
        <v>27</v>
      </c>
      <c r="H13">
        <v>24</v>
      </c>
      <c r="I13">
        <v>27</v>
      </c>
      <c r="J13">
        <v>30</v>
      </c>
    </row>
    <row r="14" spans="2:10">
      <c r="B14" t="s">
        <v>67</v>
      </c>
      <c r="C14" s="83">
        <v>1294</v>
      </c>
      <c r="D14">
        <v>873</v>
      </c>
      <c r="E14" s="83">
        <v>1037</v>
      </c>
      <c r="F14">
        <v>985</v>
      </c>
      <c r="G14">
        <v>748</v>
      </c>
      <c r="H14">
        <v>737</v>
      </c>
      <c r="I14">
        <v>915</v>
      </c>
      <c r="J14">
        <v>932</v>
      </c>
    </row>
    <row r="15" spans="2:10">
      <c r="B15" t="s">
        <v>68</v>
      </c>
      <c r="C15">
        <v>4</v>
      </c>
      <c r="D15">
        <v>1</v>
      </c>
      <c r="E15">
        <v>0</v>
      </c>
      <c r="F15">
        <v>0</v>
      </c>
      <c r="G15">
        <v>3</v>
      </c>
      <c r="H15">
        <v>0</v>
      </c>
      <c r="I15">
        <v>1</v>
      </c>
      <c r="J15">
        <v>0</v>
      </c>
    </row>
    <row r="16" spans="2:10">
      <c r="B16" t="s">
        <v>69</v>
      </c>
      <c r="C16">
        <v>1</v>
      </c>
      <c r="D16">
        <v>1</v>
      </c>
      <c r="E16">
        <v>0</v>
      </c>
      <c r="F16">
        <v>0</v>
      </c>
      <c r="G16">
        <v>0</v>
      </c>
      <c r="H16">
        <v>0</v>
      </c>
      <c r="I16">
        <v>0</v>
      </c>
      <c r="J16">
        <v>0</v>
      </c>
    </row>
    <row r="17" spans="2:10">
      <c r="B17" t="s">
        <v>70</v>
      </c>
      <c r="C17">
        <v>0</v>
      </c>
      <c r="D17">
        <v>0</v>
      </c>
      <c r="E17">
        <v>0</v>
      </c>
      <c r="F17">
        <v>0</v>
      </c>
      <c r="G17">
        <v>0</v>
      </c>
      <c r="H17">
        <v>0</v>
      </c>
      <c r="I17">
        <v>0</v>
      </c>
      <c r="J17">
        <v>0</v>
      </c>
    </row>
    <row r="18" spans="2:10">
      <c r="B18" t="s">
        <v>71</v>
      </c>
      <c r="C18">
        <v>0</v>
      </c>
      <c r="D18">
        <v>0</v>
      </c>
      <c r="E18">
        <v>0</v>
      </c>
      <c r="F18">
        <v>0</v>
      </c>
      <c r="G18">
        <v>0</v>
      </c>
      <c r="H18">
        <v>0</v>
      </c>
      <c r="I18">
        <v>0</v>
      </c>
      <c r="J18">
        <v>-1</v>
      </c>
    </row>
    <row r="19" spans="2:10">
      <c r="B19" t="s">
        <v>72</v>
      </c>
      <c r="C19">
        <v>0</v>
      </c>
      <c r="D19">
        <v>3</v>
      </c>
      <c r="E19">
        <v>-6</v>
      </c>
      <c r="F19">
        <v>0</v>
      </c>
      <c r="G19">
        <v>6</v>
      </c>
      <c r="H19">
        <v>1</v>
      </c>
      <c r="I19">
        <v>0</v>
      </c>
      <c r="J19">
        <v>0</v>
      </c>
    </row>
    <row r="20" spans="2:10">
      <c r="B20" t="s">
        <v>73</v>
      </c>
      <c r="C20">
        <v>0</v>
      </c>
      <c r="D20">
        <v>0</v>
      </c>
      <c r="E20">
        <v>0</v>
      </c>
      <c r="F20">
        <v>0</v>
      </c>
      <c r="G20">
        <v>0</v>
      </c>
      <c r="H20">
        <v>0</v>
      </c>
      <c r="I20">
        <v>0</v>
      </c>
      <c r="J20">
        <v>0</v>
      </c>
    </row>
    <row r="21" spans="2:10">
      <c r="B21" t="s">
        <v>74</v>
      </c>
      <c r="C21">
        <v>0</v>
      </c>
      <c r="D21">
        <v>0</v>
      </c>
      <c r="E21">
        <v>0</v>
      </c>
      <c r="F21">
        <v>0</v>
      </c>
      <c r="G21">
        <v>0</v>
      </c>
      <c r="H21">
        <v>0</v>
      </c>
      <c r="I21">
        <v>0</v>
      </c>
      <c r="J21">
        <v>0</v>
      </c>
    </row>
    <row r="22" spans="2:10">
      <c r="B22" t="s">
        <v>75</v>
      </c>
      <c r="C22">
        <v>8</v>
      </c>
      <c r="D22">
        <v>15</v>
      </c>
      <c r="E22">
        <v>-25</v>
      </c>
      <c r="F22">
        <v>0</v>
      </c>
      <c r="G22">
        <v>41</v>
      </c>
      <c r="H22">
        <v>0</v>
      </c>
      <c r="I22">
        <v>0</v>
      </c>
      <c r="J22">
        <v>-1</v>
      </c>
    </row>
    <row r="23" spans="2:10">
      <c r="B23" t="s">
        <v>76</v>
      </c>
      <c r="C23">
        <v>0</v>
      </c>
      <c r="D23">
        <v>0</v>
      </c>
      <c r="E23">
        <v>0</v>
      </c>
      <c r="F23">
        <v>0</v>
      </c>
      <c r="G23">
        <v>0</v>
      </c>
      <c r="H23">
        <v>0</v>
      </c>
      <c r="I23">
        <v>0</v>
      </c>
      <c r="J23">
        <v>0</v>
      </c>
    </row>
    <row r="24" spans="2:10">
      <c r="B24" t="s">
        <v>77</v>
      </c>
      <c r="C24">
        <v>0</v>
      </c>
      <c r="D24">
        <v>0</v>
      </c>
      <c r="E24">
        <v>0</v>
      </c>
      <c r="F24">
        <v>0</v>
      </c>
      <c r="G24">
        <v>0</v>
      </c>
      <c r="H24">
        <v>0</v>
      </c>
      <c r="I24">
        <v>0</v>
      </c>
      <c r="J24">
        <v>0</v>
      </c>
    </row>
    <row r="25" spans="2:10">
      <c r="B25" t="s">
        <v>78</v>
      </c>
      <c r="C25">
        <v>0</v>
      </c>
      <c r="D25">
        <v>0</v>
      </c>
      <c r="E25">
        <v>142</v>
      </c>
      <c r="F25">
        <v>64</v>
      </c>
      <c r="G25">
        <v>-43</v>
      </c>
      <c r="H25">
        <v>69</v>
      </c>
      <c r="I25">
        <v>33</v>
      </c>
      <c r="J25">
        <v>-28</v>
      </c>
    </row>
    <row r="26" spans="2:10">
      <c r="B26" t="s">
        <v>79</v>
      </c>
      <c r="C26">
        <v>11</v>
      </c>
      <c r="D26">
        <v>5</v>
      </c>
      <c r="E26">
        <v>9</v>
      </c>
      <c r="F26">
        <v>9</v>
      </c>
      <c r="G26">
        <v>4</v>
      </c>
      <c r="H26">
        <v>4</v>
      </c>
      <c r="I26">
        <v>0</v>
      </c>
      <c r="J26">
        <v>-2</v>
      </c>
    </row>
    <row r="27" spans="2:10">
      <c r="B27" t="s">
        <v>80</v>
      </c>
      <c r="C27">
        <v>24</v>
      </c>
      <c r="D27">
        <v>25</v>
      </c>
      <c r="E27">
        <v>121</v>
      </c>
      <c r="F27">
        <v>73</v>
      </c>
      <c r="G27">
        <v>11</v>
      </c>
      <c r="H27">
        <v>74</v>
      </c>
      <c r="I27">
        <v>34</v>
      </c>
      <c r="J27">
        <v>-33</v>
      </c>
    </row>
    <row r="28" spans="2:10">
      <c r="B28" t="s">
        <v>81</v>
      </c>
      <c r="C28">
        <v>9</v>
      </c>
      <c r="D28">
        <v>9</v>
      </c>
      <c r="E28">
        <v>9</v>
      </c>
      <c r="F28">
        <v>6</v>
      </c>
      <c r="G28">
        <v>7</v>
      </c>
      <c r="H28">
        <v>6</v>
      </c>
      <c r="I28">
        <v>5</v>
      </c>
      <c r="J28">
        <v>5</v>
      </c>
    </row>
    <row r="29" spans="2:10">
      <c r="B29" t="s">
        <v>82</v>
      </c>
      <c r="C29">
        <v>0</v>
      </c>
      <c r="D29">
        <v>0</v>
      </c>
      <c r="E29">
        <v>0</v>
      </c>
      <c r="F29">
        <v>0</v>
      </c>
      <c r="G29">
        <v>0</v>
      </c>
      <c r="H29">
        <v>0</v>
      </c>
      <c r="I29">
        <v>0</v>
      </c>
      <c r="J29">
        <v>0</v>
      </c>
    </row>
    <row r="30" spans="2:10">
      <c r="B30" t="s">
        <v>83</v>
      </c>
      <c r="C30">
        <v>0</v>
      </c>
      <c r="D30">
        <v>0</v>
      </c>
      <c r="E30">
        <v>0</v>
      </c>
      <c r="F30">
        <v>0</v>
      </c>
      <c r="G30">
        <v>0</v>
      </c>
      <c r="H30">
        <v>0</v>
      </c>
      <c r="I30">
        <v>0</v>
      </c>
      <c r="J30">
        <v>0</v>
      </c>
    </row>
    <row r="31" spans="2:10">
      <c r="B31" t="s">
        <v>84</v>
      </c>
      <c r="C31">
        <v>0</v>
      </c>
      <c r="D31">
        <v>0</v>
      </c>
      <c r="E31">
        <v>-1</v>
      </c>
      <c r="F31">
        <v>1</v>
      </c>
      <c r="G31">
        <v>0</v>
      </c>
      <c r="H31">
        <v>0</v>
      </c>
      <c r="I31">
        <v>-23</v>
      </c>
      <c r="J31">
        <v>23</v>
      </c>
    </row>
    <row r="32" spans="2:10">
      <c r="B32" t="s">
        <v>85</v>
      </c>
      <c r="C32">
        <v>0</v>
      </c>
      <c r="D32">
        <v>0</v>
      </c>
      <c r="E32">
        <v>10</v>
      </c>
      <c r="F32">
        <v>-2</v>
      </c>
      <c r="G32">
        <v>2</v>
      </c>
      <c r="H32">
        <v>0</v>
      </c>
      <c r="I32">
        <v>26</v>
      </c>
      <c r="J32">
        <v>0</v>
      </c>
    </row>
    <row r="33" spans="2:10">
      <c r="B33" t="s">
        <v>86</v>
      </c>
      <c r="C33">
        <v>0</v>
      </c>
      <c r="D33">
        <v>0</v>
      </c>
      <c r="E33">
        <v>9</v>
      </c>
      <c r="F33">
        <v>0</v>
      </c>
      <c r="G33">
        <v>0</v>
      </c>
      <c r="H33">
        <v>0</v>
      </c>
      <c r="I33">
        <v>0</v>
      </c>
      <c r="J33">
        <v>-2</v>
      </c>
    </row>
    <row r="34" spans="2:10">
      <c r="B34" t="s">
        <v>87</v>
      </c>
      <c r="C34">
        <v>0</v>
      </c>
      <c r="D34">
        <v>0</v>
      </c>
      <c r="E34">
        <v>0</v>
      </c>
      <c r="F34">
        <v>0</v>
      </c>
      <c r="G34">
        <v>0</v>
      </c>
      <c r="H34">
        <v>0</v>
      </c>
      <c r="I34">
        <v>0</v>
      </c>
      <c r="J34">
        <v>0</v>
      </c>
    </row>
    <row r="35" spans="2:10">
      <c r="B35" t="s">
        <v>88</v>
      </c>
      <c r="C35">
        <v>0</v>
      </c>
      <c r="D35">
        <v>0</v>
      </c>
      <c r="E35">
        <v>0</v>
      </c>
      <c r="F35">
        <v>0</v>
      </c>
      <c r="G35">
        <v>0</v>
      </c>
      <c r="H35">
        <v>0</v>
      </c>
      <c r="I35">
        <v>0</v>
      </c>
      <c r="J35">
        <v>0</v>
      </c>
    </row>
    <row r="36" spans="2:10">
      <c r="B36" t="s">
        <v>89</v>
      </c>
      <c r="C36">
        <v>0</v>
      </c>
      <c r="D36">
        <v>0</v>
      </c>
      <c r="E36">
        <v>0</v>
      </c>
      <c r="F36">
        <v>0</v>
      </c>
      <c r="G36">
        <v>0</v>
      </c>
      <c r="H36">
        <v>0</v>
      </c>
      <c r="I36">
        <v>0</v>
      </c>
      <c r="J36">
        <v>0</v>
      </c>
    </row>
    <row r="37" spans="2:10">
      <c r="B37" t="s">
        <v>90</v>
      </c>
      <c r="C37">
        <v>0</v>
      </c>
      <c r="D37">
        <v>0</v>
      </c>
      <c r="E37">
        <v>0</v>
      </c>
      <c r="F37">
        <v>0</v>
      </c>
      <c r="G37">
        <v>0</v>
      </c>
      <c r="H37">
        <v>0</v>
      </c>
      <c r="I37">
        <v>0</v>
      </c>
      <c r="J37">
        <v>0</v>
      </c>
    </row>
    <row r="38" spans="2:10">
      <c r="B38" t="s">
        <v>91</v>
      </c>
      <c r="C38">
        <v>45</v>
      </c>
      <c r="D38">
        <v>28</v>
      </c>
      <c r="E38">
        <v>0</v>
      </c>
      <c r="F38">
        <v>0</v>
      </c>
      <c r="G38">
        <v>0</v>
      </c>
      <c r="H38">
        <v>0</v>
      </c>
      <c r="I38">
        <v>0</v>
      </c>
      <c r="J38">
        <v>0</v>
      </c>
    </row>
    <row r="39" spans="2:10">
      <c r="B39" t="s">
        <v>92</v>
      </c>
      <c r="C39">
        <v>0</v>
      </c>
      <c r="D39">
        <v>0</v>
      </c>
      <c r="E39">
        <v>0</v>
      </c>
      <c r="F39">
        <v>0</v>
      </c>
      <c r="G39">
        <v>0</v>
      </c>
      <c r="H39">
        <v>0</v>
      </c>
      <c r="I39">
        <v>0</v>
      </c>
      <c r="J39">
        <v>0</v>
      </c>
    </row>
    <row r="40" spans="2:10">
      <c r="B40" t="s">
        <v>93</v>
      </c>
      <c r="C40">
        <v>-1</v>
      </c>
      <c r="D40">
        <v>1</v>
      </c>
      <c r="E40">
        <v>0</v>
      </c>
      <c r="F40">
        <v>0</v>
      </c>
      <c r="G40">
        <v>0</v>
      </c>
      <c r="H40">
        <v>0</v>
      </c>
      <c r="I40">
        <v>-1</v>
      </c>
      <c r="J40">
        <v>11</v>
      </c>
    </row>
    <row r="41" spans="2:10">
      <c r="B41" t="s">
        <v>94</v>
      </c>
      <c r="C41">
        <v>53</v>
      </c>
      <c r="D41">
        <v>39</v>
      </c>
      <c r="E41">
        <v>26</v>
      </c>
      <c r="F41">
        <v>5</v>
      </c>
      <c r="G41">
        <v>9</v>
      </c>
      <c r="H41">
        <v>6</v>
      </c>
      <c r="I41">
        <v>7</v>
      </c>
      <c r="J41">
        <v>37</v>
      </c>
    </row>
    <row r="42" spans="2:10">
      <c r="B42" t="s">
        <v>95</v>
      </c>
      <c r="C42" s="83">
        <v>1265</v>
      </c>
      <c r="D42">
        <v>859</v>
      </c>
      <c r="E42" s="83">
        <v>1132</v>
      </c>
      <c r="F42" s="83">
        <v>1053</v>
      </c>
      <c r="G42">
        <v>749</v>
      </c>
      <c r="H42">
        <v>804</v>
      </c>
      <c r="I42">
        <v>942</v>
      </c>
      <c r="J42">
        <v>862</v>
      </c>
    </row>
    <row r="43" spans="2:10">
      <c r="B43" t="s">
        <v>96</v>
      </c>
      <c r="C43">
        <v>273</v>
      </c>
      <c r="D43">
        <v>161</v>
      </c>
      <c r="E43">
        <v>211</v>
      </c>
      <c r="F43">
        <v>187</v>
      </c>
      <c r="G43">
        <v>191</v>
      </c>
      <c r="H43">
        <v>145</v>
      </c>
      <c r="I43">
        <v>152</v>
      </c>
      <c r="J43">
        <v>139</v>
      </c>
    </row>
    <row r="44" spans="2:10">
      <c r="B44" t="s">
        <v>97</v>
      </c>
      <c r="C44">
        <v>992</v>
      </c>
      <c r="D44">
        <v>698</v>
      </c>
      <c r="E44">
        <v>921</v>
      </c>
      <c r="F44">
        <v>866</v>
      </c>
      <c r="G44">
        <v>558</v>
      </c>
      <c r="H44">
        <v>659</v>
      </c>
      <c r="I44">
        <v>790</v>
      </c>
      <c r="J44">
        <v>723</v>
      </c>
    </row>
    <row r="45" spans="2:10">
      <c r="B45" t="s">
        <v>98</v>
      </c>
      <c r="C45">
        <v>0</v>
      </c>
      <c r="D45">
        <v>0</v>
      </c>
      <c r="E45">
        <v>0</v>
      </c>
      <c r="F45">
        <v>0</v>
      </c>
      <c r="G45">
        <v>0</v>
      </c>
      <c r="H45">
        <v>0</v>
      </c>
      <c r="I45">
        <v>0</v>
      </c>
      <c r="J45">
        <v>0</v>
      </c>
    </row>
    <row r="46" spans="2:10">
      <c r="B46" t="s">
        <v>99</v>
      </c>
      <c r="C46">
        <v>0</v>
      </c>
      <c r="D46">
        <v>0</v>
      </c>
      <c r="E46">
        <v>0</v>
      </c>
      <c r="F46">
        <v>0</v>
      </c>
      <c r="G46">
        <v>0</v>
      </c>
      <c r="H46">
        <v>0</v>
      </c>
      <c r="I46">
        <v>0</v>
      </c>
      <c r="J46">
        <v>0</v>
      </c>
    </row>
    <row r="47" spans="2:10">
      <c r="B47" t="s">
        <v>100</v>
      </c>
      <c r="C47">
        <v>0</v>
      </c>
      <c r="D47">
        <v>0</v>
      </c>
      <c r="E47">
        <v>0</v>
      </c>
      <c r="F47">
        <v>0</v>
      </c>
      <c r="G47">
        <v>0</v>
      </c>
      <c r="H47">
        <v>0</v>
      </c>
      <c r="I47">
        <v>0</v>
      </c>
      <c r="J47">
        <v>0</v>
      </c>
    </row>
    <row r="48" spans="2:10">
      <c r="B48" t="s">
        <v>101</v>
      </c>
      <c r="C48">
        <v>992</v>
      </c>
      <c r="D48">
        <v>698</v>
      </c>
      <c r="E48">
        <v>921</v>
      </c>
      <c r="F48">
        <v>866</v>
      </c>
      <c r="G48">
        <v>558</v>
      </c>
      <c r="H48">
        <v>659</v>
      </c>
      <c r="I48">
        <v>790</v>
      </c>
      <c r="J48">
        <v>723</v>
      </c>
    </row>
    <row r="49" spans="2:10">
      <c r="B49" t="s">
        <v>102</v>
      </c>
      <c r="C49" t="s">
        <v>103</v>
      </c>
      <c r="D49" t="s">
        <v>103</v>
      </c>
      <c r="E49" t="s">
        <v>103</v>
      </c>
      <c r="F49" t="s">
        <v>103</v>
      </c>
      <c r="G49" t="s">
        <v>103</v>
      </c>
      <c r="H49" t="s">
        <v>103</v>
      </c>
      <c r="I49" t="s">
        <v>103</v>
      </c>
      <c r="J49" t="s">
        <v>103</v>
      </c>
    </row>
    <row r="50" spans="2:10">
      <c r="B50" t="s">
        <v>104</v>
      </c>
      <c r="C50">
        <v>0</v>
      </c>
      <c r="D50">
        <v>0</v>
      </c>
      <c r="E50">
        <v>0</v>
      </c>
      <c r="F50">
        <v>0</v>
      </c>
      <c r="G50">
        <v>0</v>
      </c>
      <c r="H50">
        <v>0</v>
      </c>
      <c r="I50">
        <v>0</v>
      </c>
      <c r="J50">
        <v>0</v>
      </c>
    </row>
    <row r="51" spans="2:10">
      <c r="B51" t="s">
        <v>105</v>
      </c>
      <c r="C51">
        <v>0</v>
      </c>
      <c r="D51">
        <v>0</v>
      </c>
      <c r="E51">
        <v>0</v>
      </c>
      <c r="F51">
        <v>0</v>
      </c>
      <c r="G51">
        <v>0</v>
      </c>
      <c r="H51">
        <v>0</v>
      </c>
      <c r="I51">
        <v>0</v>
      </c>
      <c r="J51">
        <v>0</v>
      </c>
    </row>
    <row r="52" spans="2:10">
      <c r="B52" t="s">
        <v>13</v>
      </c>
      <c r="C52">
        <v>992</v>
      </c>
      <c r="D52">
        <v>698</v>
      </c>
      <c r="E52">
        <v>921</v>
      </c>
      <c r="F52">
        <v>866</v>
      </c>
      <c r="G52">
        <v>558</v>
      </c>
      <c r="H52">
        <v>658</v>
      </c>
      <c r="I52">
        <v>789</v>
      </c>
      <c r="J52">
        <v>723</v>
      </c>
    </row>
    <row r="53" spans="2:10">
      <c r="B53" t="s">
        <v>14</v>
      </c>
      <c r="C53">
        <v>3.8</v>
      </c>
      <c r="D53">
        <v>2.68</v>
      </c>
      <c r="E53">
        <v>3.53</v>
      </c>
      <c r="F53">
        <v>3.32</v>
      </c>
      <c r="G53">
        <v>2.2200000000000002</v>
      </c>
      <c r="H53">
        <v>2.62</v>
      </c>
      <c r="I53">
        <v>3.14</v>
      </c>
      <c r="J53">
        <v>2.88</v>
      </c>
    </row>
    <row r="54" spans="2:10">
      <c r="B54" t="s">
        <v>106</v>
      </c>
      <c r="C54">
        <v>3.8</v>
      </c>
      <c r="D54">
        <v>2.68</v>
      </c>
      <c r="E54" t="s">
        <v>103</v>
      </c>
      <c r="F54">
        <v>3.32</v>
      </c>
      <c r="G54">
        <v>2.2200000000000002</v>
      </c>
      <c r="H54">
        <v>2.62</v>
      </c>
      <c r="I54" t="s">
        <v>103</v>
      </c>
      <c r="J54">
        <v>2.88</v>
      </c>
    </row>
    <row r="55" spans="2:10">
      <c r="B55" t="s">
        <v>107</v>
      </c>
      <c r="C55" s="83">
        <v>2610</v>
      </c>
      <c r="D55" s="83">
        <v>2610</v>
      </c>
      <c r="E55" s="83">
        <v>2610</v>
      </c>
      <c r="F55" s="83">
        <v>2610</v>
      </c>
      <c r="G55" s="83">
        <v>2509</v>
      </c>
      <c r="H55" s="83">
        <v>2509</v>
      </c>
      <c r="I55" s="83">
        <v>2509</v>
      </c>
      <c r="J55" s="83">
        <v>2509</v>
      </c>
    </row>
    <row r="56" spans="2:10">
      <c r="B56" t="s">
        <v>108</v>
      </c>
      <c r="C56">
        <v>0</v>
      </c>
      <c r="D56">
        <v>0</v>
      </c>
      <c r="E56">
        <v>0</v>
      </c>
      <c r="F56">
        <v>0</v>
      </c>
      <c r="G56">
        <v>0</v>
      </c>
      <c r="H56">
        <v>0</v>
      </c>
      <c r="I56">
        <v>0</v>
      </c>
      <c r="J56">
        <v>0</v>
      </c>
    </row>
    <row r="57" spans="2:10">
      <c r="B57" t="s">
        <v>109</v>
      </c>
      <c r="C57" t="s">
        <v>103</v>
      </c>
      <c r="D57" t="s">
        <v>103</v>
      </c>
      <c r="E57">
        <v>0</v>
      </c>
      <c r="F57" t="s">
        <v>103</v>
      </c>
      <c r="G57" t="s">
        <v>103</v>
      </c>
      <c r="H57" t="s">
        <v>103</v>
      </c>
      <c r="I57">
        <v>0</v>
      </c>
      <c r="J57" t="s">
        <v>103</v>
      </c>
    </row>
    <row r="58" spans="2:10">
      <c r="B58" t="s">
        <v>110</v>
      </c>
      <c r="C58">
        <v>0</v>
      </c>
      <c r="D58">
        <v>0</v>
      </c>
      <c r="E58">
        <v>0</v>
      </c>
      <c r="F58">
        <v>0</v>
      </c>
      <c r="G58">
        <v>0</v>
      </c>
      <c r="H58">
        <v>0</v>
      </c>
      <c r="I58">
        <v>0</v>
      </c>
      <c r="J58">
        <v>0</v>
      </c>
    </row>
    <row r="59" spans="2:10">
      <c r="B59" t="s">
        <v>111</v>
      </c>
      <c r="C59">
        <v>0</v>
      </c>
      <c r="D59">
        <v>0</v>
      </c>
      <c r="E59">
        <v>0</v>
      </c>
      <c r="F59">
        <v>0</v>
      </c>
      <c r="G59">
        <v>0</v>
      </c>
      <c r="H59">
        <v>0</v>
      </c>
      <c r="I59">
        <v>0</v>
      </c>
      <c r="J59">
        <v>0</v>
      </c>
    </row>
    <row r="60" spans="2:10">
      <c r="B60" t="s">
        <v>112</v>
      </c>
      <c r="C60" s="83">
        <v>1274</v>
      </c>
      <c r="D60">
        <v>868</v>
      </c>
      <c r="E60" s="83">
        <v>1141</v>
      </c>
      <c r="F60" s="83">
        <v>1060</v>
      </c>
      <c r="G60">
        <v>756</v>
      </c>
      <c r="H60">
        <v>810</v>
      </c>
      <c r="I60">
        <v>947</v>
      </c>
      <c r="J60">
        <v>867</v>
      </c>
    </row>
    <row r="61" spans="2:10">
      <c r="B61" t="s">
        <v>113</v>
      </c>
      <c r="C61" s="83">
        <v>1459</v>
      </c>
      <c r="D61" s="83">
        <v>1044</v>
      </c>
      <c r="E61" s="83">
        <v>1315</v>
      </c>
      <c r="F61" s="83">
        <v>1198</v>
      </c>
      <c r="G61">
        <v>879</v>
      </c>
      <c r="H61">
        <v>927</v>
      </c>
      <c r="I61" s="83">
        <v>1065</v>
      </c>
      <c r="J61">
        <v>975</v>
      </c>
    </row>
    <row r="62" spans="2:10">
      <c r="B62" t="s">
        <v>114</v>
      </c>
      <c r="C62">
        <v>984</v>
      </c>
      <c r="D62">
        <v>680</v>
      </c>
      <c r="E62">
        <v>969</v>
      </c>
      <c r="F62">
        <v>865</v>
      </c>
      <c r="G62">
        <v>514</v>
      </c>
      <c r="H62">
        <v>658</v>
      </c>
      <c r="I62">
        <v>792</v>
      </c>
      <c r="J62">
        <v>746</v>
      </c>
    </row>
    <row r="63" spans="2:10">
      <c r="B63" t="s">
        <v>115</v>
      </c>
    </row>
    <row r="64" spans="2:10">
      <c r="B64" t="s">
        <v>116</v>
      </c>
    </row>
    <row r="101" spans="2:10">
      <c r="B101" t="s">
        <v>2488</v>
      </c>
    </row>
    <row r="102" spans="2:10">
      <c r="B102" t="s">
        <v>49</v>
      </c>
    </row>
    <row r="103" spans="2:10">
      <c r="B103" t="s">
        <v>52</v>
      </c>
      <c r="C103" t="s">
        <v>263</v>
      </c>
      <c r="D103" t="s">
        <v>53</v>
      </c>
      <c r="E103" t="s">
        <v>54</v>
      </c>
      <c r="F103" t="s">
        <v>55</v>
      </c>
      <c r="G103" t="s">
        <v>56</v>
      </c>
      <c r="H103" t="s">
        <v>57</v>
      </c>
      <c r="I103" t="s">
        <v>58</v>
      </c>
      <c r="J103" t="s">
        <v>59</v>
      </c>
    </row>
    <row r="104" spans="2:10">
      <c r="B104" t="s">
        <v>181</v>
      </c>
      <c r="C104" s="83">
        <v>2313</v>
      </c>
      <c r="D104" s="83">
        <v>2547</v>
      </c>
      <c r="E104" s="83">
        <v>1850</v>
      </c>
      <c r="F104">
        <v>734</v>
      </c>
      <c r="G104" s="83">
        <v>1273</v>
      </c>
      <c r="H104" s="83">
        <v>1434</v>
      </c>
      <c r="I104" s="83">
        <v>1210</v>
      </c>
      <c r="J104" s="83">
        <v>1525</v>
      </c>
    </row>
    <row r="105" spans="2:10">
      <c r="B105" t="s">
        <v>182</v>
      </c>
      <c r="C105">
        <v>0</v>
      </c>
      <c r="D105">
        <v>0</v>
      </c>
      <c r="E105">
        <v>0</v>
      </c>
      <c r="F105">
        <v>0</v>
      </c>
      <c r="G105">
        <v>2</v>
      </c>
      <c r="H105">
        <v>2</v>
      </c>
      <c r="I105">
        <v>1</v>
      </c>
      <c r="J105">
        <v>1</v>
      </c>
    </row>
    <row r="106" spans="2:10">
      <c r="B106" t="s">
        <v>219</v>
      </c>
      <c r="C106" s="83">
        <v>3394</v>
      </c>
      <c r="D106" s="83">
        <v>2322</v>
      </c>
      <c r="E106" s="83">
        <v>2775</v>
      </c>
      <c r="F106" s="83">
        <v>2736</v>
      </c>
      <c r="G106" s="83">
        <v>2471</v>
      </c>
      <c r="H106" s="83">
        <v>2182</v>
      </c>
      <c r="I106" s="83">
        <v>2234</v>
      </c>
      <c r="J106" s="83">
        <v>2174</v>
      </c>
    </row>
    <row r="107" spans="2:10">
      <c r="B107" t="s">
        <v>183</v>
      </c>
      <c r="C107">
        <v>132</v>
      </c>
      <c r="D107">
        <v>106</v>
      </c>
      <c r="E107">
        <v>79</v>
      </c>
      <c r="F107">
        <v>103</v>
      </c>
      <c r="G107">
        <v>98</v>
      </c>
      <c r="H107">
        <v>117</v>
      </c>
      <c r="I107">
        <v>140</v>
      </c>
      <c r="J107">
        <v>91</v>
      </c>
    </row>
    <row r="108" spans="2:10">
      <c r="B108" t="s">
        <v>220</v>
      </c>
      <c r="C108">
        <v>0</v>
      </c>
      <c r="D108">
        <v>0</v>
      </c>
      <c r="E108">
        <v>0</v>
      </c>
      <c r="F108">
        <v>0</v>
      </c>
      <c r="G108">
        <v>0</v>
      </c>
      <c r="H108">
        <v>0</v>
      </c>
      <c r="I108">
        <v>0</v>
      </c>
      <c r="J108">
        <v>0</v>
      </c>
    </row>
    <row r="109" spans="2:10">
      <c r="B109" t="s">
        <v>15</v>
      </c>
      <c r="C109" s="83">
        <v>4099</v>
      </c>
      <c r="D109" s="83">
        <v>3726</v>
      </c>
      <c r="E109" s="83">
        <v>3099</v>
      </c>
      <c r="F109" s="83">
        <v>3400</v>
      </c>
      <c r="G109" s="83">
        <v>3341</v>
      </c>
      <c r="H109" s="83">
        <v>3335</v>
      </c>
      <c r="I109" s="83">
        <v>3233</v>
      </c>
      <c r="J109" s="83">
        <v>3245</v>
      </c>
    </row>
    <row r="110" spans="2:10">
      <c r="B110" t="s">
        <v>221</v>
      </c>
      <c r="C110" t="s">
        <v>103</v>
      </c>
      <c r="D110" t="s">
        <v>103</v>
      </c>
      <c r="E110" t="s">
        <v>103</v>
      </c>
      <c r="F110" t="s">
        <v>103</v>
      </c>
      <c r="G110" t="s">
        <v>103</v>
      </c>
      <c r="H110" t="s">
        <v>103</v>
      </c>
      <c r="I110" t="s">
        <v>103</v>
      </c>
      <c r="J110" t="s">
        <v>103</v>
      </c>
    </row>
    <row r="111" spans="2:10">
      <c r="B111" t="s">
        <v>184</v>
      </c>
      <c r="C111">
        <v>71</v>
      </c>
      <c r="D111">
        <v>296</v>
      </c>
      <c r="E111">
        <v>79</v>
      </c>
      <c r="F111">
        <v>87</v>
      </c>
      <c r="G111">
        <v>112</v>
      </c>
      <c r="H111">
        <v>194</v>
      </c>
      <c r="I111">
        <v>81</v>
      </c>
      <c r="J111">
        <v>95</v>
      </c>
    </row>
    <row r="112" spans="2:10">
      <c r="B112" t="s">
        <v>185</v>
      </c>
      <c r="C112">
        <v>111</v>
      </c>
      <c r="D112">
        <v>30</v>
      </c>
      <c r="E112">
        <v>183</v>
      </c>
      <c r="F112">
        <v>162</v>
      </c>
      <c r="G112">
        <v>161</v>
      </c>
      <c r="H112">
        <v>18</v>
      </c>
      <c r="I112">
        <v>79</v>
      </c>
      <c r="J112">
        <v>140</v>
      </c>
    </row>
    <row r="113" spans="2:10">
      <c r="B113" t="s">
        <v>186</v>
      </c>
      <c r="C113" s="83">
        <v>10120</v>
      </c>
      <c r="D113" s="83">
        <v>9027</v>
      </c>
      <c r="E113" s="83">
        <v>8065</v>
      </c>
      <c r="F113" s="83">
        <v>7223</v>
      </c>
      <c r="G113" s="83">
        <v>7460</v>
      </c>
      <c r="H113" s="83">
        <v>7281</v>
      </c>
      <c r="I113" s="83">
        <v>6979</v>
      </c>
      <c r="J113" s="83">
        <v>7271</v>
      </c>
    </row>
    <row r="114" spans="2:10">
      <c r="B114" t="s">
        <v>187</v>
      </c>
      <c r="C114">
        <v>14</v>
      </c>
      <c r="D114">
        <v>14</v>
      </c>
      <c r="E114">
        <v>13</v>
      </c>
      <c r="F114">
        <v>13</v>
      </c>
      <c r="G114">
        <v>11</v>
      </c>
      <c r="H114">
        <v>0</v>
      </c>
      <c r="I114">
        <v>0</v>
      </c>
      <c r="J114">
        <v>0</v>
      </c>
    </row>
    <row r="115" spans="2:10">
      <c r="B115" t="s">
        <v>188</v>
      </c>
      <c r="C115" s="83">
        <v>1187</v>
      </c>
      <c r="D115" s="83">
        <v>1187</v>
      </c>
      <c r="E115" s="83">
        <v>1187</v>
      </c>
      <c r="F115" s="83">
        <v>1186</v>
      </c>
      <c r="G115" s="83">
        <v>1186</v>
      </c>
      <c r="H115" s="83">
        <v>1179</v>
      </c>
      <c r="I115" s="83">
        <v>1178</v>
      </c>
      <c r="J115" s="83">
        <v>1178</v>
      </c>
    </row>
    <row r="116" spans="2:10">
      <c r="B116" t="s">
        <v>189</v>
      </c>
      <c r="C116" s="83">
        <v>3486</v>
      </c>
      <c r="D116" s="83">
        <v>3293</v>
      </c>
      <c r="E116" s="83">
        <v>3093</v>
      </c>
      <c r="F116" s="83">
        <v>2590</v>
      </c>
      <c r="G116" s="83">
        <v>2344</v>
      </c>
      <c r="H116" s="83">
        <v>2151</v>
      </c>
      <c r="I116" s="83">
        <v>2123</v>
      </c>
      <c r="J116" s="83">
        <v>2111</v>
      </c>
    </row>
    <row r="117" spans="2:10">
      <c r="B117" t="s">
        <v>190</v>
      </c>
      <c r="C117" s="83">
        <v>3762</v>
      </c>
      <c r="D117" s="83">
        <v>3682</v>
      </c>
      <c r="E117" s="83">
        <v>3608</v>
      </c>
      <c r="F117" s="83">
        <v>3591</v>
      </c>
      <c r="G117" s="83">
        <v>3108</v>
      </c>
      <c r="H117" s="83">
        <v>2971</v>
      </c>
      <c r="I117" s="83">
        <v>2802</v>
      </c>
      <c r="J117" s="83">
        <v>2597</v>
      </c>
    </row>
    <row r="118" spans="2:10">
      <c r="B118" t="s">
        <v>191</v>
      </c>
      <c r="C118" s="83">
        <v>1133</v>
      </c>
      <c r="D118" s="83">
        <v>1019</v>
      </c>
      <c r="E118">
        <v>917</v>
      </c>
      <c r="F118">
        <v>693</v>
      </c>
      <c r="G118">
        <v>623</v>
      </c>
      <c r="H118">
        <v>598</v>
      </c>
      <c r="I118">
        <v>582</v>
      </c>
      <c r="J118">
        <v>533</v>
      </c>
    </row>
    <row r="119" spans="2:10">
      <c r="B119" t="s">
        <v>192</v>
      </c>
      <c r="C119">
        <v>0</v>
      </c>
      <c r="D119">
        <v>0</v>
      </c>
      <c r="E119">
        <v>0</v>
      </c>
      <c r="F119">
        <v>0</v>
      </c>
      <c r="G119">
        <v>0</v>
      </c>
      <c r="H119">
        <v>0</v>
      </c>
      <c r="I119">
        <v>0</v>
      </c>
      <c r="J119">
        <v>0</v>
      </c>
    </row>
    <row r="120" spans="2:10">
      <c r="B120" t="s">
        <v>193</v>
      </c>
      <c r="C120" s="83">
        <v>-3252</v>
      </c>
      <c r="D120" s="83">
        <v>-3107</v>
      </c>
      <c r="E120" s="83">
        <v>-2965</v>
      </c>
      <c r="F120" s="83">
        <v>-2814</v>
      </c>
      <c r="G120" s="83">
        <v>-2668</v>
      </c>
      <c r="H120" s="83">
        <v>-2579</v>
      </c>
      <c r="I120" s="83">
        <v>-2472</v>
      </c>
      <c r="J120" s="83">
        <v>-2397</v>
      </c>
    </row>
    <row r="121" spans="2:10">
      <c r="B121" t="s">
        <v>194</v>
      </c>
      <c r="C121">
        <v>0</v>
      </c>
      <c r="D121">
        <v>0</v>
      </c>
      <c r="E121">
        <v>0</v>
      </c>
      <c r="F121">
        <v>0</v>
      </c>
      <c r="G121">
        <v>0</v>
      </c>
      <c r="H121">
        <v>0</v>
      </c>
      <c r="I121">
        <v>0</v>
      </c>
      <c r="J121">
        <v>0</v>
      </c>
    </row>
    <row r="122" spans="2:10">
      <c r="B122" t="s">
        <v>195</v>
      </c>
      <c r="C122">
        <v>117</v>
      </c>
      <c r="D122">
        <v>402</v>
      </c>
      <c r="E122">
        <v>722</v>
      </c>
      <c r="F122" s="83">
        <v>1115</v>
      </c>
      <c r="G122" s="83">
        <v>1266</v>
      </c>
      <c r="H122" s="83">
        <v>1112</v>
      </c>
      <c r="I122">
        <v>772</v>
      </c>
      <c r="J122">
        <v>557</v>
      </c>
    </row>
    <row r="123" spans="2:10">
      <c r="B123" t="s">
        <v>196</v>
      </c>
      <c r="C123" s="83">
        <v>6432</v>
      </c>
      <c r="D123" s="83">
        <v>6475</v>
      </c>
      <c r="E123" s="83">
        <v>6563</v>
      </c>
      <c r="F123" s="83">
        <v>6360</v>
      </c>
      <c r="G123" s="83">
        <v>5859</v>
      </c>
      <c r="H123" s="83">
        <v>5431</v>
      </c>
      <c r="I123" s="83">
        <v>4985</v>
      </c>
      <c r="J123" s="83">
        <v>4579</v>
      </c>
    </row>
    <row r="124" spans="2:10">
      <c r="B124" t="s">
        <v>197</v>
      </c>
      <c r="C124">
        <v>42</v>
      </c>
      <c r="D124">
        <v>42</v>
      </c>
      <c r="E124">
        <v>42</v>
      </c>
      <c r="F124">
        <v>47</v>
      </c>
      <c r="G124">
        <v>47</v>
      </c>
      <c r="H124">
        <v>47</v>
      </c>
      <c r="I124">
        <v>47</v>
      </c>
      <c r="J124">
        <v>52</v>
      </c>
    </row>
    <row r="125" spans="2:10">
      <c r="B125" t="s">
        <v>198</v>
      </c>
      <c r="C125">
        <v>20</v>
      </c>
      <c r="D125">
        <v>21</v>
      </c>
      <c r="E125">
        <v>23</v>
      </c>
      <c r="F125">
        <v>20</v>
      </c>
      <c r="G125">
        <v>22</v>
      </c>
      <c r="H125">
        <v>22</v>
      </c>
      <c r="I125">
        <v>24</v>
      </c>
      <c r="J125">
        <v>22</v>
      </c>
    </row>
    <row r="126" spans="2:10">
      <c r="B126" t="s">
        <v>199</v>
      </c>
      <c r="C126">
        <v>251</v>
      </c>
      <c r="D126">
        <v>224</v>
      </c>
      <c r="E126">
        <v>219</v>
      </c>
      <c r="F126">
        <v>244</v>
      </c>
      <c r="G126">
        <v>573</v>
      </c>
      <c r="H126">
        <v>622</v>
      </c>
      <c r="I126">
        <v>511</v>
      </c>
      <c r="J126">
        <v>543</v>
      </c>
    </row>
    <row r="127" spans="2:10">
      <c r="B127" t="s">
        <v>200</v>
      </c>
      <c r="C127">
        <v>313</v>
      </c>
      <c r="D127">
        <v>287</v>
      </c>
      <c r="E127">
        <v>283</v>
      </c>
      <c r="F127">
        <v>310</v>
      </c>
      <c r="G127">
        <v>641</v>
      </c>
      <c r="H127">
        <v>691</v>
      </c>
      <c r="I127">
        <v>582</v>
      </c>
      <c r="J127">
        <v>617</v>
      </c>
    </row>
    <row r="128" spans="2:10">
      <c r="B128" t="s">
        <v>18</v>
      </c>
      <c r="C128" s="83">
        <v>16879</v>
      </c>
      <c r="D128" s="83">
        <v>15803</v>
      </c>
      <c r="E128" s="83">
        <v>14925</v>
      </c>
      <c r="F128" s="83">
        <v>13906</v>
      </c>
      <c r="G128" s="83">
        <v>13971</v>
      </c>
      <c r="H128" s="83">
        <v>13403</v>
      </c>
      <c r="I128" s="83">
        <v>12546</v>
      </c>
      <c r="J128" s="83">
        <v>12467</v>
      </c>
    </row>
    <row r="129" spans="2:10">
      <c r="B129" t="s">
        <v>222</v>
      </c>
      <c r="C129" s="83">
        <v>2208</v>
      </c>
      <c r="D129" s="83">
        <v>2281</v>
      </c>
      <c r="E129" s="83">
        <v>2229</v>
      </c>
      <c r="F129" s="83">
        <v>2358</v>
      </c>
      <c r="G129" s="83">
        <v>1819</v>
      </c>
      <c r="H129" s="83">
        <v>1608</v>
      </c>
      <c r="I129" s="83">
        <v>1330</v>
      </c>
      <c r="J129" s="83">
        <v>1154</v>
      </c>
    </row>
    <row r="130" spans="2:10">
      <c r="B130" t="s">
        <v>223</v>
      </c>
      <c r="C130">
        <v>0</v>
      </c>
      <c r="D130">
        <v>0</v>
      </c>
      <c r="E130">
        <v>0</v>
      </c>
      <c r="F130">
        <v>0</v>
      </c>
      <c r="G130">
        <v>0</v>
      </c>
      <c r="H130">
        <v>0</v>
      </c>
      <c r="I130">
        <v>0</v>
      </c>
      <c r="J130">
        <v>0</v>
      </c>
    </row>
    <row r="131" spans="2:10">
      <c r="B131" t="s">
        <v>16</v>
      </c>
      <c r="C131" s="83">
        <v>1986</v>
      </c>
      <c r="D131" s="83">
        <v>1738</v>
      </c>
      <c r="E131" s="83">
        <v>1468</v>
      </c>
      <c r="F131" s="83">
        <v>1758</v>
      </c>
      <c r="G131" s="83">
        <v>1538</v>
      </c>
      <c r="H131" s="83">
        <v>1448</v>
      </c>
      <c r="I131" s="83">
        <v>1471</v>
      </c>
      <c r="J131" s="83">
        <v>1393</v>
      </c>
    </row>
    <row r="132" spans="2:10">
      <c r="B132" t="s">
        <v>201</v>
      </c>
      <c r="C132">
        <v>0</v>
      </c>
      <c r="D132">
        <v>0</v>
      </c>
      <c r="E132">
        <v>0</v>
      </c>
      <c r="F132">
        <v>0</v>
      </c>
      <c r="G132">
        <v>0</v>
      </c>
      <c r="H132">
        <v>0</v>
      </c>
      <c r="I132">
        <v>0</v>
      </c>
      <c r="J132">
        <v>0</v>
      </c>
    </row>
    <row r="133" spans="2:10">
      <c r="B133" t="s">
        <v>202</v>
      </c>
      <c r="C133">
        <v>0</v>
      </c>
      <c r="D133">
        <v>0</v>
      </c>
      <c r="E133">
        <v>0</v>
      </c>
      <c r="F133">
        <v>0</v>
      </c>
      <c r="G133">
        <v>0</v>
      </c>
      <c r="H133">
        <v>0</v>
      </c>
      <c r="I133">
        <v>0</v>
      </c>
      <c r="J133">
        <v>0</v>
      </c>
    </row>
    <row r="134" spans="2:10">
      <c r="B134" t="s">
        <v>203</v>
      </c>
      <c r="C134" s="83">
        <v>2697</v>
      </c>
      <c r="D134">
        <v>528</v>
      </c>
      <c r="E134">
        <v>790</v>
      </c>
      <c r="F134">
        <v>643</v>
      </c>
      <c r="G134" s="83">
        <v>2321</v>
      </c>
      <c r="H134">
        <v>517</v>
      </c>
      <c r="I134">
        <v>752</v>
      </c>
      <c r="J134" s="83">
        <v>1931</v>
      </c>
    </row>
    <row r="135" spans="2:10">
      <c r="B135" t="s">
        <v>204</v>
      </c>
      <c r="C135">
        <v>430</v>
      </c>
      <c r="D135">
        <v>604</v>
      </c>
      <c r="E135">
        <v>446</v>
      </c>
      <c r="F135">
        <v>247</v>
      </c>
      <c r="G135">
        <v>332</v>
      </c>
      <c r="H135">
        <v>522</v>
      </c>
      <c r="I135">
        <v>380</v>
      </c>
      <c r="J135">
        <v>233</v>
      </c>
    </row>
    <row r="136" spans="2:10">
      <c r="B136" t="s">
        <v>205</v>
      </c>
      <c r="C136">
        <v>34</v>
      </c>
      <c r="D136">
        <v>35</v>
      </c>
      <c r="E136">
        <v>20</v>
      </c>
      <c r="F136">
        <v>0</v>
      </c>
      <c r="G136">
        <v>13</v>
      </c>
      <c r="H136">
        <v>14</v>
      </c>
      <c r="I136">
        <v>24</v>
      </c>
      <c r="J136">
        <v>42</v>
      </c>
    </row>
    <row r="137" spans="2:10">
      <c r="B137" t="s">
        <v>206</v>
      </c>
      <c r="C137">
        <v>131</v>
      </c>
      <c r="D137">
        <v>121</v>
      </c>
      <c r="E137">
        <v>105</v>
      </c>
      <c r="F137">
        <v>153</v>
      </c>
      <c r="G137">
        <v>115</v>
      </c>
      <c r="H137">
        <v>203</v>
      </c>
      <c r="I137">
        <v>210</v>
      </c>
      <c r="J137">
        <v>134</v>
      </c>
    </row>
    <row r="138" spans="2:10">
      <c r="B138" t="s">
        <v>207</v>
      </c>
      <c r="C138" s="83">
        <v>7487</v>
      </c>
      <c r="D138" s="83">
        <v>5307</v>
      </c>
      <c r="E138" s="83">
        <v>5073</v>
      </c>
      <c r="F138" s="83">
        <v>5160</v>
      </c>
      <c r="G138" s="83">
        <v>6139</v>
      </c>
      <c r="H138" s="83">
        <v>4312</v>
      </c>
      <c r="I138" s="83">
        <v>4167</v>
      </c>
      <c r="J138" s="83">
        <v>4886</v>
      </c>
    </row>
    <row r="139" spans="2:10">
      <c r="B139" t="s">
        <v>208</v>
      </c>
      <c r="C139">
        <v>88</v>
      </c>
      <c r="D139">
        <v>58</v>
      </c>
      <c r="E139">
        <v>74</v>
      </c>
      <c r="F139">
        <v>0</v>
      </c>
      <c r="G139">
        <v>0</v>
      </c>
      <c r="H139">
        <v>0</v>
      </c>
      <c r="I139">
        <v>0</v>
      </c>
      <c r="J139">
        <v>0</v>
      </c>
    </row>
    <row r="140" spans="2:10">
      <c r="B140" t="s">
        <v>209</v>
      </c>
      <c r="C140">
        <v>0</v>
      </c>
      <c r="D140">
        <v>0</v>
      </c>
      <c r="E140">
        <v>0</v>
      </c>
      <c r="F140">
        <v>0</v>
      </c>
      <c r="G140">
        <v>0</v>
      </c>
      <c r="H140">
        <v>0</v>
      </c>
      <c r="I140">
        <v>0</v>
      </c>
      <c r="J140">
        <v>0</v>
      </c>
    </row>
    <row r="141" spans="2:10">
      <c r="B141" t="s">
        <v>210</v>
      </c>
      <c r="C141">
        <v>214</v>
      </c>
      <c r="D141">
        <v>213</v>
      </c>
      <c r="E141">
        <v>211</v>
      </c>
      <c r="F141">
        <v>208</v>
      </c>
      <c r="G141">
        <v>207</v>
      </c>
      <c r="H141">
        <v>206</v>
      </c>
      <c r="I141">
        <v>204</v>
      </c>
      <c r="J141">
        <v>203</v>
      </c>
    </row>
    <row r="142" spans="2:10">
      <c r="B142" t="s">
        <v>211</v>
      </c>
      <c r="C142">
        <v>37</v>
      </c>
      <c r="D142">
        <v>37</v>
      </c>
      <c r="E142">
        <v>37</v>
      </c>
      <c r="F142">
        <v>3</v>
      </c>
      <c r="G142">
        <v>3</v>
      </c>
      <c r="H142">
        <v>3</v>
      </c>
      <c r="I142">
        <v>3</v>
      </c>
      <c r="J142">
        <v>0</v>
      </c>
    </row>
    <row r="143" spans="2:10">
      <c r="B143" t="s">
        <v>212</v>
      </c>
      <c r="C143">
        <v>0</v>
      </c>
      <c r="D143">
        <v>0</v>
      </c>
      <c r="E143">
        <v>0</v>
      </c>
      <c r="F143">
        <v>0</v>
      </c>
      <c r="G143">
        <v>0</v>
      </c>
      <c r="H143">
        <v>0</v>
      </c>
      <c r="I143">
        <v>0</v>
      </c>
      <c r="J143">
        <v>0</v>
      </c>
    </row>
    <row r="144" spans="2:10">
      <c r="B144" t="s">
        <v>213</v>
      </c>
      <c r="C144">
        <v>0</v>
      </c>
      <c r="D144">
        <v>0</v>
      </c>
      <c r="E144">
        <v>0</v>
      </c>
      <c r="F144">
        <v>0</v>
      </c>
      <c r="G144">
        <v>0</v>
      </c>
      <c r="H144">
        <v>0</v>
      </c>
      <c r="I144">
        <v>0</v>
      </c>
      <c r="J144">
        <v>0</v>
      </c>
    </row>
    <row r="145" spans="2:10">
      <c r="B145" t="s">
        <v>214</v>
      </c>
      <c r="C145">
        <v>42</v>
      </c>
      <c r="D145">
        <v>42</v>
      </c>
      <c r="E145">
        <v>52</v>
      </c>
      <c r="F145">
        <v>54</v>
      </c>
      <c r="G145">
        <v>54</v>
      </c>
      <c r="H145">
        <v>54</v>
      </c>
      <c r="I145">
        <v>54</v>
      </c>
      <c r="J145">
        <v>66</v>
      </c>
    </row>
    <row r="146" spans="2:10">
      <c r="B146" t="s">
        <v>215</v>
      </c>
      <c r="C146">
        <v>293</v>
      </c>
      <c r="D146">
        <v>292</v>
      </c>
      <c r="E146">
        <v>300</v>
      </c>
      <c r="F146">
        <v>265</v>
      </c>
      <c r="G146">
        <v>265</v>
      </c>
      <c r="H146">
        <v>264</v>
      </c>
      <c r="I146">
        <v>262</v>
      </c>
      <c r="J146">
        <v>269</v>
      </c>
    </row>
    <row r="147" spans="2:10">
      <c r="B147" t="s">
        <v>17</v>
      </c>
      <c r="C147" s="83">
        <v>7867</v>
      </c>
      <c r="D147" s="83">
        <v>5657</v>
      </c>
      <c r="E147" s="83">
        <v>5447</v>
      </c>
      <c r="F147" s="83">
        <v>5425</v>
      </c>
      <c r="G147" s="83">
        <v>6404</v>
      </c>
      <c r="H147" s="83">
        <v>4576</v>
      </c>
      <c r="I147" s="83">
        <v>4429</v>
      </c>
      <c r="J147" s="83">
        <v>5156</v>
      </c>
    </row>
    <row r="148" spans="2:10">
      <c r="B148" t="s">
        <v>216</v>
      </c>
      <c r="C148" s="83">
        <v>9011</v>
      </c>
      <c r="D148" s="83">
        <v>10146</v>
      </c>
      <c r="E148" s="83">
        <v>9478</v>
      </c>
      <c r="F148" s="83">
        <v>8481</v>
      </c>
      <c r="G148" s="83">
        <v>7567</v>
      </c>
      <c r="H148" s="83">
        <v>8827</v>
      </c>
      <c r="I148" s="83">
        <v>8117</v>
      </c>
      <c r="J148" s="83">
        <v>7312</v>
      </c>
    </row>
    <row r="149" spans="2:10">
      <c r="B149" t="s">
        <v>224</v>
      </c>
      <c r="C149" s="83">
        <v>2610</v>
      </c>
      <c r="D149" s="83">
        <v>2610</v>
      </c>
      <c r="E149" s="83">
        <v>2610</v>
      </c>
      <c r="F149" s="83">
        <v>2610</v>
      </c>
      <c r="G149" s="83">
        <v>2509</v>
      </c>
      <c r="H149" s="83">
        <v>2509</v>
      </c>
      <c r="I149" s="83">
        <v>2509</v>
      </c>
      <c r="J149" s="83">
        <v>2509</v>
      </c>
    </row>
    <row r="150" spans="2:10">
      <c r="B150" t="s">
        <v>225</v>
      </c>
      <c r="C150">
        <v>0</v>
      </c>
      <c r="D150">
        <v>0</v>
      </c>
      <c r="E150">
        <v>0</v>
      </c>
      <c r="F150">
        <v>0</v>
      </c>
      <c r="G150">
        <v>0</v>
      </c>
      <c r="H150">
        <v>0</v>
      </c>
      <c r="I150">
        <v>0</v>
      </c>
      <c r="J150">
        <v>0</v>
      </c>
    </row>
    <row r="151" spans="2:10">
      <c r="B151" t="s">
        <v>226</v>
      </c>
      <c r="C151" s="83">
        <v>1152</v>
      </c>
      <c r="D151" s="83">
        <v>1152</v>
      </c>
      <c r="E151" s="83">
        <v>1152</v>
      </c>
      <c r="F151" s="83">
        <v>1152</v>
      </c>
      <c r="G151" s="83">
        <v>1152</v>
      </c>
      <c r="H151" s="83">
        <v>1152</v>
      </c>
      <c r="I151" s="83">
        <v>1152</v>
      </c>
      <c r="J151" s="83">
        <v>1152</v>
      </c>
    </row>
    <row r="152" spans="2:10">
      <c r="B152" t="s">
        <v>227</v>
      </c>
      <c r="C152" s="83">
        <v>1230</v>
      </c>
      <c r="D152">
        <v>930</v>
      </c>
      <c r="E152">
        <v>930</v>
      </c>
      <c r="F152">
        <v>930</v>
      </c>
      <c r="G152">
        <v>930</v>
      </c>
      <c r="H152">
        <v>656</v>
      </c>
      <c r="I152">
        <v>656</v>
      </c>
      <c r="J152">
        <v>656</v>
      </c>
    </row>
    <row r="153" spans="2:10">
      <c r="B153" t="s">
        <v>228</v>
      </c>
      <c r="C153">
        <v>0</v>
      </c>
      <c r="D153">
        <v>0</v>
      </c>
      <c r="E153">
        <v>0</v>
      </c>
      <c r="F153">
        <v>0</v>
      </c>
      <c r="G153">
        <v>0</v>
      </c>
      <c r="H153">
        <v>62</v>
      </c>
      <c r="I153">
        <v>62</v>
      </c>
      <c r="J153">
        <v>62</v>
      </c>
    </row>
    <row r="154" spans="2:10">
      <c r="B154" t="s">
        <v>229</v>
      </c>
      <c r="C154" s="83">
        <v>3956</v>
      </c>
      <c r="D154" s="83">
        <v>5352</v>
      </c>
      <c r="E154" s="83">
        <v>4654</v>
      </c>
      <c r="F154" s="83">
        <v>3736</v>
      </c>
      <c r="G154" s="83">
        <v>2870</v>
      </c>
      <c r="H154" s="83">
        <v>4381</v>
      </c>
      <c r="I154" s="83">
        <v>3723</v>
      </c>
      <c r="J154" s="83">
        <v>2934</v>
      </c>
    </row>
    <row r="155" spans="2:10">
      <c r="B155" t="s">
        <v>230</v>
      </c>
      <c r="C155">
        <v>0</v>
      </c>
      <c r="D155">
        <v>0</v>
      </c>
      <c r="E155">
        <v>0</v>
      </c>
      <c r="F155">
        <v>0</v>
      </c>
      <c r="G155">
        <v>0</v>
      </c>
      <c r="H155">
        <v>0</v>
      </c>
      <c r="I155">
        <v>0</v>
      </c>
      <c r="J155">
        <v>0</v>
      </c>
    </row>
    <row r="156" spans="2:10">
      <c r="B156" t="s">
        <v>217</v>
      </c>
      <c r="C156">
        <v>0</v>
      </c>
      <c r="D156">
        <v>0</v>
      </c>
      <c r="E156">
        <v>0</v>
      </c>
      <c r="F156">
        <v>0</v>
      </c>
      <c r="G156">
        <v>0</v>
      </c>
      <c r="H156">
        <v>10</v>
      </c>
      <c r="I156">
        <v>10</v>
      </c>
      <c r="J156">
        <v>10</v>
      </c>
    </row>
    <row r="157" spans="2:10">
      <c r="B157" t="s">
        <v>218</v>
      </c>
      <c r="C157" s="83">
        <v>16879</v>
      </c>
      <c r="D157" s="83">
        <v>15803</v>
      </c>
      <c r="E157" s="83">
        <v>14925</v>
      </c>
      <c r="F157" s="83">
        <v>13906</v>
      </c>
      <c r="G157" s="83">
        <v>13971</v>
      </c>
      <c r="H157" s="83">
        <v>13403</v>
      </c>
      <c r="I157" s="83">
        <v>12546</v>
      </c>
      <c r="J157" s="83">
        <v>12467</v>
      </c>
    </row>
    <row r="158" spans="2:10">
      <c r="B158" t="s">
        <v>115</v>
      </c>
    </row>
    <row r="159" spans="2:10">
      <c r="B159" t="s">
        <v>116</v>
      </c>
    </row>
    <row r="201" spans="2:10">
      <c r="B201" t="s">
        <v>2487</v>
      </c>
    </row>
    <row r="202" spans="2:10">
      <c r="B202" t="s">
        <v>49</v>
      </c>
    </row>
    <row r="203" spans="2:10">
      <c r="B203" t="s">
        <v>52</v>
      </c>
      <c r="C203" t="s">
        <v>263</v>
      </c>
      <c r="D203" t="s">
        <v>53</v>
      </c>
      <c r="E203" t="s">
        <v>54</v>
      </c>
      <c r="F203" t="s">
        <v>55</v>
      </c>
      <c r="G203" t="s">
        <v>56</v>
      </c>
      <c r="H203" t="s">
        <v>57</v>
      </c>
      <c r="I203" t="s">
        <v>58</v>
      </c>
      <c r="J203" t="s">
        <v>59</v>
      </c>
    </row>
    <row r="204" spans="2:10">
      <c r="B204" t="s">
        <v>117</v>
      </c>
      <c r="C204">
        <v>992</v>
      </c>
      <c r="D204">
        <v>698</v>
      </c>
      <c r="E204">
        <v>921</v>
      </c>
      <c r="F204">
        <v>866</v>
      </c>
      <c r="G204">
        <v>558</v>
      </c>
      <c r="H204">
        <v>659</v>
      </c>
      <c r="I204">
        <v>790</v>
      </c>
      <c r="J204">
        <v>723</v>
      </c>
    </row>
    <row r="205" spans="2:10">
      <c r="B205" t="s">
        <v>118</v>
      </c>
      <c r="C205">
        <v>0</v>
      </c>
      <c r="D205">
        <v>0</v>
      </c>
      <c r="E205">
        <v>0</v>
      </c>
      <c r="F205">
        <v>0</v>
      </c>
      <c r="G205">
        <v>0</v>
      </c>
      <c r="H205">
        <v>0</v>
      </c>
      <c r="I205">
        <v>0</v>
      </c>
      <c r="J205">
        <v>0</v>
      </c>
    </row>
    <row r="206" spans="2:10">
      <c r="B206" t="s">
        <v>119</v>
      </c>
      <c r="C206">
        <v>182</v>
      </c>
      <c r="D206">
        <v>173</v>
      </c>
      <c r="E206">
        <v>171</v>
      </c>
      <c r="F206">
        <v>136</v>
      </c>
      <c r="G206">
        <v>120</v>
      </c>
      <c r="H206">
        <v>115</v>
      </c>
      <c r="I206">
        <v>115</v>
      </c>
      <c r="J206">
        <v>106</v>
      </c>
    </row>
    <row r="207" spans="2:10">
      <c r="B207" t="s">
        <v>120</v>
      </c>
      <c r="C207">
        <v>3</v>
      </c>
      <c r="D207">
        <v>3</v>
      </c>
      <c r="E207">
        <v>3</v>
      </c>
      <c r="F207">
        <v>3</v>
      </c>
      <c r="G207">
        <v>3</v>
      </c>
      <c r="H207">
        <v>3</v>
      </c>
      <c r="I207">
        <v>2</v>
      </c>
      <c r="J207">
        <v>2</v>
      </c>
    </row>
    <row r="208" spans="2:10">
      <c r="B208" t="s">
        <v>121</v>
      </c>
      <c r="C208">
        <v>-1</v>
      </c>
      <c r="D208">
        <v>-1</v>
      </c>
      <c r="E208">
        <v>0</v>
      </c>
      <c r="F208">
        <v>-2</v>
      </c>
      <c r="G208">
        <v>0</v>
      </c>
      <c r="H208">
        <v>0</v>
      </c>
      <c r="I208">
        <v>0</v>
      </c>
      <c r="J208">
        <v>0</v>
      </c>
    </row>
    <row r="209" spans="2:10">
      <c r="B209" t="s">
        <v>122</v>
      </c>
      <c r="C209">
        <v>0</v>
      </c>
      <c r="D209">
        <v>0</v>
      </c>
      <c r="E209">
        <v>0</v>
      </c>
      <c r="F209">
        <v>0</v>
      </c>
      <c r="G209">
        <v>0</v>
      </c>
      <c r="H209">
        <v>0</v>
      </c>
      <c r="I209">
        <v>0</v>
      </c>
      <c r="J209">
        <v>0</v>
      </c>
    </row>
    <row r="210" spans="2:10">
      <c r="B210" t="s">
        <v>123</v>
      </c>
      <c r="C210">
        <v>0</v>
      </c>
      <c r="D210">
        <v>0</v>
      </c>
      <c r="E210">
        <v>0</v>
      </c>
      <c r="F210">
        <v>0</v>
      </c>
      <c r="G210">
        <v>0</v>
      </c>
      <c r="H210">
        <v>0</v>
      </c>
      <c r="I210">
        <v>0</v>
      </c>
      <c r="J210">
        <v>0</v>
      </c>
    </row>
    <row r="211" spans="2:10">
      <c r="B211" t="s">
        <v>124</v>
      </c>
      <c r="C211" t="s">
        <v>103</v>
      </c>
      <c r="D211" t="s">
        <v>103</v>
      </c>
      <c r="E211" t="s">
        <v>103</v>
      </c>
      <c r="F211" t="s">
        <v>103</v>
      </c>
      <c r="G211" t="s">
        <v>103</v>
      </c>
      <c r="H211" t="s">
        <v>103</v>
      </c>
      <c r="I211" t="s">
        <v>103</v>
      </c>
      <c r="J211" t="s">
        <v>103</v>
      </c>
    </row>
    <row r="212" spans="2:10">
      <c r="B212" t="s">
        <v>125</v>
      </c>
      <c r="C212">
        <v>-1</v>
      </c>
      <c r="D212">
        <v>1</v>
      </c>
      <c r="E212">
        <v>8</v>
      </c>
      <c r="F212">
        <v>-1</v>
      </c>
      <c r="G212">
        <v>4</v>
      </c>
      <c r="H212">
        <v>-1</v>
      </c>
      <c r="I212">
        <v>3</v>
      </c>
      <c r="J212">
        <v>24</v>
      </c>
    </row>
    <row r="213" spans="2:10">
      <c r="B213" t="s">
        <v>126</v>
      </c>
      <c r="C213">
        <v>0</v>
      </c>
      <c r="D213">
        <v>0</v>
      </c>
      <c r="E213">
        <v>0</v>
      </c>
      <c r="F213">
        <v>0</v>
      </c>
      <c r="G213">
        <v>0</v>
      </c>
      <c r="H213">
        <v>0</v>
      </c>
      <c r="I213">
        <v>0</v>
      </c>
      <c r="J213">
        <v>0</v>
      </c>
    </row>
    <row r="214" spans="2:10">
      <c r="B214" t="s">
        <v>127</v>
      </c>
      <c r="C214">
        <v>1</v>
      </c>
      <c r="D214">
        <v>2</v>
      </c>
      <c r="E214">
        <v>0</v>
      </c>
      <c r="F214">
        <v>1</v>
      </c>
      <c r="G214">
        <v>1</v>
      </c>
      <c r="H214">
        <v>2</v>
      </c>
      <c r="I214">
        <v>1</v>
      </c>
      <c r="J214">
        <v>1</v>
      </c>
    </row>
    <row r="215" spans="2:10">
      <c r="B215" t="s">
        <v>128</v>
      </c>
      <c r="C215" s="83">
        <v>-1072</v>
      </c>
      <c r="D215">
        <v>453</v>
      </c>
      <c r="E215">
        <v>-39</v>
      </c>
      <c r="F215">
        <v>-265</v>
      </c>
      <c r="G215">
        <v>-290</v>
      </c>
      <c r="H215">
        <v>53</v>
      </c>
      <c r="I215">
        <v>-60</v>
      </c>
      <c r="J215">
        <v>82</v>
      </c>
    </row>
    <row r="216" spans="2:10">
      <c r="B216" t="s">
        <v>129</v>
      </c>
      <c r="C216">
        <v>-373</v>
      </c>
      <c r="D216">
        <v>-627</v>
      </c>
      <c r="E216">
        <v>301</v>
      </c>
      <c r="F216">
        <v>-59</v>
      </c>
      <c r="G216">
        <v>-7</v>
      </c>
      <c r="H216">
        <v>-101</v>
      </c>
      <c r="I216">
        <v>11</v>
      </c>
      <c r="J216">
        <v>-17</v>
      </c>
    </row>
    <row r="217" spans="2:10">
      <c r="B217" t="s">
        <v>130</v>
      </c>
      <c r="C217">
        <v>249</v>
      </c>
      <c r="D217">
        <v>269</v>
      </c>
      <c r="E217">
        <v>-290</v>
      </c>
      <c r="F217">
        <v>221</v>
      </c>
      <c r="G217">
        <v>90</v>
      </c>
      <c r="H217">
        <v>-23</v>
      </c>
      <c r="I217">
        <v>78</v>
      </c>
      <c r="J217">
        <v>-417</v>
      </c>
    </row>
    <row r="218" spans="2:10">
      <c r="B218" t="s">
        <v>131</v>
      </c>
      <c r="C218">
        <v>30</v>
      </c>
      <c r="D218">
        <v>-175</v>
      </c>
      <c r="E218">
        <v>335</v>
      </c>
      <c r="F218">
        <v>1</v>
      </c>
      <c r="G218">
        <v>-218</v>
      </c>
      <c r="H218">
        <v>-140</v>
      </c>
      <c r="I218">
        <v>302</v>
      </c>
      <c r="J218">
        <v>77</v>
      </c>
    </row>
    <row r="219" spans="2:10">
      <c r="B219" t="s">
        <v>19</v>
      </c>
      <c r="C219">
        <v>9</v>
      </c>
      <c r="D219">
        <v>794</v>
      </c>
      <c r="E219" s="83">
        <v>1425</v>
      </c>
      <c r="F219">
        <v>899</v>
      </c>
      <c r="G219">
        <v>256</v>
      </c>
      <c r="H219">
        <v>564</v>
      </c>
      <c r="I219" s="83">
        <v>1242</v>
      </c>
      <c r="J219">
        <v>579</v>
      </c>
    </row>
    <row r="220" spans="2:10">
      <c r="B220" t="s">
        <v>132</v>
      </c>
      <c r="C220">
        <v>0</v>
      </c>
      <c r="D220">
        <v>0</v>
      </c>
      <c r="E220">
        <v>0</v>
      </c>
      <c r="F220">
        <v>2</v>
      </c>
      <c r="G220">
        <v>5</v>
      </c>
      <c r="H220">
        <v>0</v>
      </c>
      <c r="I220">
        <v>0</v>
      </c>
      <c r="J220">
        <v>3</v>
      </c>
    </row>
    <row r="221" spans="2:10">
      <c r="B221" t="s">
        <v>133</v>
      </c>
      <c r="C221">
        <v>0</v>
      </c>
      <c r="D221">
        <v>0</v>
      </c>
      <c r="E221">
        <v>0</v>
      </c>
      <c r="F221">
        <v>0</v>
      </c>
      <c r="G221">
        <v>3</v>
      </c>
      <c r="H221">
        <v>0</v>
      </c>
      <c r="I221">
        <v>0</v>
      </c>
      <c r="J221">
        <v>0</v>
      </c>
    </row>
    <row r="222" spans="2:10">
      <c r="B222" t="s">
        <v>21</v>
      </c>
      <c r="C222">
        <v>0</v>
      </c>
      <c r="D222">
        <v>0</v>
      </c>
      <c r="E222">
        <v>0</v>
      </c>
      <c r="F222">
        <v>0</v>
      </c>
      <c r="G222">
        <v>0</v>
      </c>
      <c r="H222">
        <v>0</v>
      </c>
      <c r="I222">
        <v>0</v>
      </c>
      <c r="J222">
        <v>-27</v>
      </c>
    </row>
    <row r="223" spans="2:10">
      <c r="B223" t="s">
        <v>134</v>
      </c>
      <c r="C223">
        <v>3</v>
      </c>
      <c r="D223">
        <v>14</v>
      </c>
      <c r="E223">
        <v>0</v>
      </c>
      <c r="F223">
        <v>1</v>
      </c>
      <c r="G223">
        <v>4</v>
      </c>
      <c r="H223">
        <v>3</v>
      </c>
      <c r="I223">
        <v>0</v>
      </c>
      <c r="J223">
        <v>1</v>
      </c>
    </row>
    <row r="224" spans="2:10">
      <c r="B224" t="s">
        <v>20</v>
      </c>
      <c r="C224">
        <v>-204</v>
      </c>
      <c r="D224">
        <v>-151</v>
      </c>
      <c r="E224">
        <v>-229</v>
      </c>
      <c r="F224">
        <v>-190</v>
      </c>
      <c r="G224">
        <v>-618</v>
      </c>
      <c r="H224">
        <v>-614</v>
      </c>
      <c r="I224">
        <v>-460</v>
      </c>
      <c r="J224">
        <v>-460</v>
      </c>
    </row>
    <row r="225" spans="2:10">
      <c r="B225" t="s">
        <v>135</v>
      </c>
      <c r="C225">
        <v>-1</v>
      </c>
      <c r="D225">
        <v>-4</v>
      </c>
      <c r="E225">
        <v>-5</v>
      </c>
      <c r="F225">
        <v>0</v>
      </c>
      <c r="G225">
        <v>-16</v>
      </c>
      <c r="H225">
        <v>1</v>
      </c>
      <c r="I225">
        <v>-5</v>
      </c>
      <c r="J225">
        <v>0</v>
      </c>
    </row>
    <row r="226" spans="2:10">
      <c r="B226" t="s">
        <v>136</v>
      </c>
      <c r="C226">
        <v>-203</v>
      </c>
      <c r="D226">
        <v>-141</v>
      </c>
      <c r="E226">
        <v>-234</v>
      </c>
      <c r="F226">
        <v>-187</v>
      </c>
      <c r="G226">
        <v>-621</v>
      </c>
      <c r="H226">
        <v>-610</v>
      </c>
      <c r="I226">
        <v>-465</v>
      </c>
      <c r="J226">
        <v>-483</v>
      </c>
    </row>
    <row r="227" spans="2:10">
      <c r="B227" t="s">
        <v>137</v>
      </c>
      <c r="C227">
        <v>0</v>
      </c>
      <c r="D227">
        <v>0</v>
      </c>
      <c r="E227">
        <v>0</v>
      </c>
      <c r="F227">
        <v>0</v>
      </c>
      <c r="G227">
        <v>0</v>
      </c>
      <c r="H227">
        <v>0</v>
      </c>
      <c r="I227">
        <v>0</v>
      </c>
      <c r="J227">
        <v>0</v>
      </c>
    </row>
    <row r="228" spans="2:10">
      <c r="B228" t="s">
        <v>138</v>
      </c>
      <c r="C228">
        <v>0</v>
      </c>
      <c r="D228">
        <v>0</v>
      </c>
      <c r="E228">
        <v>0</v>
      </c>
      <c r="F228" s="83">
        <v>-1757</v>
      </c>
      <c r="G228">
        <v>0</v>
      </c>
      <c r="H228">
        <v>0</v>
      </c>
      <c r="I228" s="83">
        <v>-1230</v>
      </c>
      <c r="J228">
        <v>0</v>
      </c>
    </row>
    <row r="229" spans="2:10">
      <c r="B229" t="s">
        <v>139</v>
      </c>
      <c r="C229">
        <v>0</v>
      </c>
      <c r="D229">
        <v>0</v>
      </c>
      <c r="E229">
        <v>0</v>
      </c>
      <c r="F229">
        <v>0</v>
      </c>
      <c r="G229">
        <v>0</v>
      </c>
      <c r="H229">
        <v>0</v>
      </c>
      <c r="I229">
        <v>0</v>
      </c>
      <c r="J229">
        <v>0</v>
      </c>
    </row>
    <row r="230" spans="2:10">
      <c r="B230" t="s">
        <v>140</v>
      </c>
      <c r="C230">
        <v>-74</v>
      </c>
      <c r="D230">
        <v>52</v>
      </c>
      <c r="E230">
        <v>-129</v>
      </c>
      <c r="F230">
        <v>539</v>
      </c>
      <c r="G230">
        <v>211</v>
      </c>
      <c r="H230">
        <v>278</v>
      </c>
      <c r="I230">
        <v>176</v>
      </c>
      <c r="J230">
        <v>186</v>
      </c>
    </row>
    <row r="231" spans="2:10">
      <c r="B231" t="s">
        <v>141</v>
      </c>
      <c r="C231">
        <v>29</v>
      </c>
      <c r="D231">
        <v>-1</v>
      </c>
      <c r="E231">
        <v>94</v>
      </c>
      <c r="F231">
        <v>-13</v>
      </c>
      <c r="G231">
        <v>0</v>
      </c>
      <c r="H231">
        <v>-10</v>
      </c>
      <c r="I231">
        <v>-18</v>
      </c>
      <c r="J231">
        <v>-11</v>
      </c>
    </row>
    <row r="232" spans="2:10">
      <c r="B232" t="s">
        <v>142</v>
      </c>
      <c r="C232">
        <v>0</v>
      </c>
      <c r="D232">
        <v>0</v>
      </c>
      <c r="E232">
        <v>0</v>
      </c>
      <c r="F232">
        <v>0</v>
      </c>
      <c r="G232">
        <v>0</v>
      </c>
      <c r="H232">
        <v>0</v>
      </c>
      <c r="I232">
        <v>0</v>
      </c>
      <c r="J232">
        <v>0</v>
      </c>
    </row>
    <row r="233" spans="2:10">
      <c r="B233" t="s">
        <v>143</v>
      </c>
      <c r="C233">
        <v>0</v>
      </c>
      <c r="D233">
        <v>0</v>
      </c>
      <c r="E233">
        <v>0</v>
      </c>
      <c r="F233">
        <v>0</v>
      </c>
      <c r="G233">
        <v>0</v>
      </c>
      <c r="H233">
        <v>0</v>
      </c>
      <c r="I233">
        <v>0</v>
      </c>
      <c r="J233">
        <v>0</v>
      </c>
    </row>
    <row r="234" spans="2:10">
      <c r="B234" t="s">
        <v>144</v>
      </c>
      <c r="C234">
        <v>0</v>
      </c>
      <c r="D234">
        <v>0</v>
      </c>
      <c r="E234">
        <v>0</v>
      </c>
      <c r="F234">
        <v>0</v>
      </c>
      <c r="G234">
        <v>0</v>
      </c>
      <c r="H234">
        <v>0</v>
      </c>
      <c r="I234">
        <v>0</v>
      </c>
      <c r="J234">
        <v>0</v>
      </c>
    </row>
    <row r="235" spans="2:10">
      <c r="B235" t="s">
        <v>145</v>
      </c>
      <c r="C235">
        <v>0</v>
      </c>
      <c r="D235">
        <v>-10</v>
      </c>
      <c r="E235">
        <v>-2</v>
      </c>
      <c r="F235">
        <v>0</v>
      </c>
      <c r="G235">
        <v>-11</v>
      </c>
      <c r="H235">
        <v>0</v>
      </c>
      <c r="I235">
        <v>-12</v>
      </c>
      <c r="J235">
        <v>0</v>
      </c>
    </row>
    <row r="236" spans="2:10">
      <c r="B236" t="s">
        <v>146</v>
      </c>
      <c r="C236">
        <v>-45</v>
      </c>
      <c r="D236">
        <v>30</v>
      </c>
      <c r="E236">
        <v>-37</v>
      </c>
      <c r="F236" s="83">
        <v>-1231</v>
      </c>
      <c r="G236">
        <v>200</v>
      </c>
      <c r="H236">
        <v>268</v>
      </c>
      <c r="I236" s="83">
        <v>-1085</v>
      </c>
      <c r="J236">
        <v>175</v>
      </c>
    </row>
    <row r="237" spans="2:10">
      <c r="B237" t="s">
        <v>147</v>
      </c>
      <c r="C237">
        <v>5</v>
      </c>
      <c r="D237">
        <v>13</v>
      </c>
      <c r="E237">
        <v>-39</v>
      </c>
      <c r="F237">
        <v>-21</v>
      </c>
      <c r="G237">
        <v>4</v>
      </c>
      <c r="H237">
        <v>3</v>
      </c>
      <c r="I237">
        <v>-7</v>
      </c>
      <c r="J237">
        <v>8</v>
      </c>
    </row>
    <row r="238" spans="2:10">
      <c r="B238" t="s">
        <v>148</v>
      </c>
      <c r="C238">
        <v>-234</v>
      </c>
      <c r="D238">
        <v>697</v>
      </c>
      <c r="E238" s="83">
        <v>1116</v>
      </c>
      <c r="F238">
        <v>-539</v>
      </c>
      <c r="G238">
        <v>-161</v>
      </c>
      <c r="H238">
        <v>224</v>
      </c>
      <c r="I238">
        <v>-315</v>
      </c>
      <c r="J238">
        <v>279</v>
      </c>
    </row>
    <row r="239" spans="2:10">
      <c r="B239" t="s">
        <v>149</v>
      </c>
      <c r="C239" s="83">
        <v>2547</v>
      </c>
      <c r="D239" s="83">
        <v>1850</v>
      </c>
      <c r="E239">
        <v>734</v>
      </c>
      <c r="F239" s="83">
        <v>1273</v>
      </c>
      <c r="G239" s="83">
        <v>1434</v>
      </c>
      <c r="H239" s="83">
        <v>1210</v>
      </c>
      <c r="I239" s="83">
        <v>1525</v>
      </c>
      <c r="J239" s="83">
        <v>1246</v>
      </c>
    </row>
    <row r="240" spans="2:10">
      <c r="B240" t="s">
        <v>150</v>
      </c>
      <c r="C240" s="83">
        <v>2313</v>
      </c>
      <c r="D240" s="83">
        <v>2547</v>
      </c>
      <c r="E240" s="83">
        <v>1850</v>
      </c>
      <c r="F240">
        <v>734</v>
      </c>
      <c r="G240" s="83">
        <v>1273</v>
      </c>
      <c r="H240" s="83">
        <v>1434</v>
      </c>
      <c r="I240" s="83">
        <v>1210</v>
      </c>
      <c r="J240" s="83">
        <v>1525</v>
      </c>
    </row>
    <row r="241" spans="2:10">
      <c r="B241" t="s">
        <v>151</v>
      </c>
      <c r="C241">
        <v>9</v>
      </c>
      <c r="D241">
        <v>9</v>
      </c>
      <c r="E241">
        <v>9</v>
      </c>
      <c r="F241">
        <v>6</v>
      </c>
      <c r="G241">
        <v>7</v>
      </c>
      <c r="H241">
        <v>6</v>
      </c>
      <c r="I241">
        <v>5</v>
      </c>
      <c r="J241">
        <v>5</v>
      </c>
    </row>
    <row r="242" spans="2:10">
      <c r="B242" t="s">
        <v>152</v>
      </c>
      <c r="C242" t="s">
        <v>103</v>
      </c>
      <c r="D242" t="s">
        <v>103</v>
      </c>
      <c r="E242" t="s">
        <v>103</v>
      </c>
      <c r="F242" t="s">
        <v>103</v>
      </c>
      <c r="G242" t="s">
        <v>103</v>
      </c>
      <c r="H242" t="s">
        <v>103</v>
      </c>
      <c r="I242" t="s">
        <v>103</v>
      </c>
      <c r="J242" t="s">
        <v>103</v>
      </c>
    </row>
    <row r="243" spans="2:10">
      <c r="B243" t="s">
        <v>153</v>
      </c>
    </row>
    <row r="244" spans="2:10">
      <c r="B244" t="s">
        <v>154</v>
      </c>
    </row>
    <row r="245" spans="2:10">
      <c r="B245" t="s">
        <v>115</v>
      </c>
    </row>
    <row r="246" spans="2:10">
      <c r="B246" t="s">
        <v>116</v>
      </c>
    </row>
  </sheetData>
  <sheetProtection sheet="1" objects="1" scenarios="1"/>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J246"/>
  <sheetViews>
    <sheetView workbookViewId="0">
      <selection sqref="A1:XFD1000"/>
    </sheetView>
  </sheetViews>
  <sheetFormatPr defaultRowHeight="16.5"/>
  <cols>
    <col min="2" max="2" width="81" customWidth="1"/>
    <col min="3" max="10" width="7.375" customWidth="1"/>
  </cols>
  <sheetData>
    <row r="2" spans="2:10">
      <c r="B2" t="s">
        <v>2489</v>
      </c>
    </row>
    <row r="3" spans="2:10">
      <c r="B3" t="s">
        <v>49</v>
      </c>
    </row>
    <row r="4" spans="2:10">
      <c r="B4" t="s">
        <v>52</v>
      </c>
      <c r="C4" t="s">
        <v>263</v>
      </c>
      <c r="D4" t="s">
        <v>53</v>
      </c>
      <c r="E4" t="s">
        <v>54</v>
      </c>
      <c r="F4" t="s">
        <v>55</v>
      </c>
      <c r="G4" t="s">
        <v>56</v>
      </c>
      <c r="H4" t="s">
        <v>57</v>
      </c>
      <c r="I4" t="s">
        <v>58</v>
      </c>
      <c r="J4" t="s">
        <v>59</v>
      </c>
    </row>
    <row r="5" spans="2:10">
      <c r="B5" t="s">
        <v>10</v>
      </c>
      <c r="C5" s="83">
        <v>4975</v>
      </c>
      <c r="D5" s="83">
        <v>5782</v>
      </c>
      <c r="E5" s="83">
        <v>5369</v>
      </c>
      <c r="F5" s="83">
        <v>5952</v>
      </c>
      <c r="G5" s="83">
        <v>4355</v>
      </c>
      <c r="H5" s="83">
        <v>5213</v>
      </c>
      <c r="I5" s="83">
        <v>4323</v>
      </c>
      <c r="J5" s="83">
        <v>5167</v>
      </c>
    </row>
    <row r="6" spans="2:10">
      <c r="B6" t="s">
        <v>11</v>
      </c>
      <c r="C6" s="83">
        <v>3868</v>
      </c>
      <c r="D6" s="83">
        <v>4285</v>
      </c>
      <c r="E6" s="83">
        <v>4284</v>
      </c>
      <c r="F6" s="83">
        <v>4747</v>
      </c>
      <c r="G6" s="83">
        <v>3377</v>
      </c>
      <c r="H6" s="83">
        <v>3954</v>
      </c>
      <c r="I6" s="83">
        <v>3467</v>
      </c>
      <c r="J6" s="83">
        <v>4172</v>
      </c>
    </row>
    <row r="7" spans="2:10">
      <c r="B7" t="s">
        <v>60</v>
      </c>
      <c r="C7" s="83">
        <v>1107</v>
      </c>
      <c r="D7" s="83">
        <v>1497</v>
      </c>
      <c r="E7" s="83">
        <v>1085</v>
      </c>
      <c r="F7" s="83">
        <v>1205</v>
      </c>
      <c r="G7">
        <v>978</v>
      </c>
      <c r="H7" s="83">
        <v>1259</v>
      </c>
      <c r="I7">
        <v>856</v>
      </c>
      <c r="J7">
        <v>995</v>
      </c>
    </row>
    <row r="8" spans="2:10">
      <c r="B8" t="s">
        <v>61</v>
      </c>
      <c r="C8">
        <v>0</v>
      </c>
      <c r="D8">
        <v>0</v>
      </c>
      <c r="E8">
        <v>0</v>
      </c>
      <c r="F8">
        <v>0</v>
      </c>
      <c r="G8">
        <v>0</v>
      </c>
      <c r="H8">
        <v>0</v>
      </c>
      <c r="I8">
        <v>0</v>
      </c>
      <c r="J8">
        <v>0</v>
      </c>
    </row>
    <row r="9" spans="2:10">
      <c r="B9" t="s">
        <v>62</v>
      </c>
      <c r="C9" s="83">
        <v>1107</v>
      </c>
      <c r="D9" s="83">
        <v>1497</v>
      </c>
      <c r="E9" s="83">
        <v>1085</v>
      </c>
      <c r="F9" s="83">
        <v>1205</v>
      </c>
      <c r="G9">
        <v>978</v>
      </c>
      <c r="H9" s="83">
        <v>1259</v>
      </c>
      <c r="I9">
        <v>856</v>
      </c>
      <c r="J9">
        <v>995</v>
      </c>
    </row>
    <row r="10" spans="2:10">
      <c r="B10" t="s">
        <v>63</v>
      </c>
      <c r="C10">
        <v>526</v>
      </c>
      <c r="D10">
        <v>728</v>
      </c>
      <c r="E10">
        <v>664</v>
      </c>
      <c r="F10">
        <v>624</v>
      </c>
      <c r="G10">
        <v>490</v>
      </c>
      <c r="H10">
        <v>663</v>
      </c>
      <c r="I10">
        <v>500</v>
      </c>
      <c r="J10">
        <v>515</v>
      </c>
    </row>
    <row r="11" spans="2:10">
      <c r="B11" t="s">
        <v>64</v>
      </c>
      <c r="C11">
        <v>305</v>
      </c>
      <c r="D11">
        <v>413</v>
      </c>
      <c r="E11">
        <v>362</v>
      </c>
      <c r="F11">
        <v>361</v>
      </c>
      <c r="G11">
        <v>270</v>
      </c>
      <c r="H11">
        <v>387</v>
      </c>
      <c r="I11">
        <v>264</v>
      </c>
      <c r="J11">
        <v>287</v>
      </c>
    </row>
    <row r="12" spans="2:10">
      <c r="B12" t="s">
        <v>65</v>
      </c>
      <c r="C12">
        <v>221</v>
      </c>
      <c r="D12">
        <v>314</v>
      </c>
      <c r="E12">
        <v>302</v>
      </c>
      <c r="F12">
        <v>262</v>
      </c>
      <c r="G12">
        <v>219</v>
      </c>
      <c r="H12">
        <v>276</v>
      </c>
      <c r="I12">
        <v>236</v>
      </c>
      <c r="J12">
        <v>229</v>
      </c>
    </row>
    <row r="13" spans="2:10">
      <c r="B13" t="s">
        <v>66</v>
      </c>
      <c r="C13">
        <v>0</v>
      </c>
      <c r="D13">
        <v>0</v>
      </c>
      <c r="E13">
        <v>0</v>
      </c>
      <c r="F13">
        <v>0</v>
      </c>
      <c r="G13">
        <v>0</v>
      </c>
      <c r="H13">
        <v>0</v>
      </c>
      <c r="I13">
        <v>0</v>
      </c>
      <c r="J13">
        <v>0</v>
      </c>
    </row>
    <row r="14" spans="2:10">
      <c r="B14" t="s">
        <v>67</v>
      </c>
      <c r="C14">
        <v>581</v>
      </c>
      <c r="D14">
        <v>770</v>
      </c>
      <c r="E14">
        <v>421</v>
      </c>
      <c r="F14">
        <v>581</v>
      </c>
      <c r="G14">
        <v>488</v>
      </c>
      <c r="H14">
        <v>596</v>
      </c>
      <c r="I14">
        <v>357</v>
      </c>
      <c r="J14">
        <v>479</v>
      </c>
    </row>
    <row r="15" spans="2:10">
      <c r="B15" t="s">
        <v>68</v>
      </c>
      <c r="C15">
        <v>5</v>
      </c>
      <c r="D15">
        <v>2</v>
      </c>
      <c r="E15">
        <v>3</v>
      </c>
      <c r="F15">
        <v>3</v>
      </c>
      <c r="G15">
        <v>4</v>
      </c>
      <c r="H15">
        <v>3</v>
      </c>
      <c r="I15">
        <v>3</v>
      </c>
      <c r="J15">
        <v>6</v>
      </c>
    </row>
    <row r="16" spans="2:10">
      <c r="B16" t="s">
        <v>69</v>
      </c>
      <c r="C16">
        <v>-1</v>
      </c>
      <c r="D16">
        <v>1</v>
      </c>
      <c r="E16">
        <v>5</v>
      </c>
      <c r="F16">
        <v>0</v>
      </c>
      <c r="G16">
        <v>0</v>
      </c>
      <c r="H16">
        <v>0</v>
      </c>
      <c r="I16">
        <v>0</v>
      </c>
      <c r="J16">
        <v>9</v>
      </c>
    </row>
    <row r="17" spans="2:10">
      <c r="B17" t="s">
        <v>70</v>
      </c>
      <c r="C17">
        <v>0</v>
      </c>
      <c r="D17">
        <v>0</v>
      </c>
      <c r="E17">
        <v>0</v>
      </c>
      <c r="F17">
        <v>0</v>
      </c>
      <c r="G17">
        <v>0</v>
      </c>
      <c r="H17">
        <v>0</v>
      </c>
      <c r="I17">
        <v>0</v>
      </c>
      <c r="J17">
        <v>0</v>
      </c>
    </row>
    <row r="18" spans="2:10">
      <c r="B18" t="s">
        <v>71</v>
      </c>
      <c r="C18">
        <v>0</v>
      </c>
      <c r="D18">
        <v>0</v>
      </c>
      <c r="E18">
        <v>0</v>
      </c>
      <c r="F18">
        <v>0</v>
      </c>
      <c r="G18">
        <v>0</v>
      </c>
      <c r="H18">
        <v>0</v>
      </c>
      <c r="I18">
        <v>0</v>
      </c>
      <c r="J18">
        <v>0</v>
      </c>
    </row>
    <row r="19" spans="2:10">
      <c r="B19" t="s">
        <v>72</v>
      </c>
      <c r="C19">
        <v>-1</v>
      </c>
      <c r="D19">
        <v>1</v>
      </c>
      <c r="E19">
        <v>0</v>
      </c>
      <c r="F19">
        <v>-2</v>
      </c>
      <c r="G19">
        <v>2</v>
      </c>
      <c r="H19">
        <v>0</v>
      </c>
      <c r="I19">
        <v>13</v>
      </c>
      <c r="J19">
        <v>-9</v>
      </c>
    </row>
    <row r="20" spans="2:10">
      <c r="B20" t="s">
        <v>73</v>
      </c>
      <c r="C20">
        <v>0</v>
      </c>
      <c r="D20">
        <v>0</v>
      </c>
      <c r="E20">
        <v>0</v>
      </c>
      <c r="F20">
        <v>0</v>
      </c>
      <c r="G20">
        <v>0</v>
      </c>
      <c r="H20">
        <v>0</v>
      </c>
      <c r="I20">
        <v>0</v>
      </c>
      <c r="J20">
        <v>0</v>
      </c>
    </row>
    <row r="21" spans="2:10">
      <c r="B21" t="s">
        <v>74</v>
      </c>
      <c r="C21">
        <v>0</v>
      </c>
      <c r="D21">
        <v>0</v>
      </c>
      <c r="E21">
        <v>0</v>
      </c>
      <c r="F21">
        <v>0</v>
      </c>
      <c r="G21">
        <v>0</v>
      </c>
      <c r="H21">
        <v>0</v>
      </c>
      <c r="I21">
        <v>0</v>
      </c>
      <c r="J21">
        <v>0</v>
      </c>
    </row>
    <row r="22" spans="2:10">
      <c r="B22" t="s">
        <v>75</v>
      </c>
      <c r="C22">
        <v>2</v>
      </c>
      <c r="D22">
        <v>3</v>
      </c>
      <c r="E22">
        <v>0</v>
      </c>
      <c r="F22">
        <v>0</v>
      </c>
      <c r="G22">
        <v>0</v>
      </c>
      <c r="H22">
        <v>0</v>
      </c>
      <c r="I22">
        <v>0</v>
      </c>
      <c r="J22">
        <v>0</v>
      </c>
    </row>
    <row r="23" spans="2:10">
      <c r="B23" t="s">
        <v>76</v>
      </c>
      <c r="C23">
        <v>0</v>
      </c>
      <c r="D23">
        <v>0</v>
      </c>
      <c r="E23">
        <v>0</v>
      </c>
      <c r="F23">
        <v>0</v>
      </c>
      <c r="G23">
        <v>0</v>
      </c>
      <c r="H23">
        <v>0</v>
      </c>
      <c r="I23">
        <v>0</v>
      </c>
      <c r="J23">
        <v>0</v>
      </c>
    </row>
    <row r="24" spans="2:10">
      <c r="B24" t="s">
        <v>77</v>
      </c>
      <c r="C24">
        <v>0</v>
      </c>
      <c r="D24">
        <v>0</v>
      </c>
      <c r="E24">
        <v>0</v>
      </c>
      <c r="F24">
        <v>0</v>
      </c>
      <c r="G24">
        <v>0</v>
      </c>
      <c r="H24">
        <v>0</v>
      </c>
      <c r="I24">
        <v>0</v>
      </c>
      <c r="J24">
        <v>0</v>
      </c>
    </row>
    <row r="25" spans="2:10">
      <c r="B25" t="s">
        <v>78</v>
      </c>
      <c r="C25">
        <v>0</v>
      </c>
      <c r="D25">
        <v>0</v>
      </c>
      <c r="E25">
        <v>49</v>
      </c>
      <c r="F25">
        <v>0</v>
      </c>
      <c r="G25">
        <v>0</v>
      </c>
      <c r="H25">
        <v>0</v>
      </c>
      <c r="I25">
        <v>9</v>
      </c>
      <c r="J25">
        <v>-9</v>
      </c>
    </row>
    <row r="26" spans="2:10">
      <c r="B26" t="s">
        <v>79</v>
      </c>
      <c r="C26">
        <v>8</v>
      </c>
      <c r="D26">
        <v>19</v>
      </c>
      <c r="E26">
        <v>40</v>
      </c>
      <c r="F26">
        <v>16</v>
      </c>
      <c r="G26">
        <v>-26</v>
      </c>
      <c r="H26">
        <v>30</v>
      </c>
      <c r="I26">
        <v>3</v>
      </c>
      <c r="J26">
        <v>2</v>
      </c>
    </row>
    <row r="27" spans="2:10">
      <c r="B27" t="s">
        <v>80</v>
      </c>
      <c r="C27">
        <v>14</v>
      </c>
      <c r="D27">
        <v>27</v>
      </c>
      <c r="E27">
        <v>97</v>
      </c>
      <c r="F27">
        <v>16</v>
      </c>
      <c r="G27">
        <v>-20</v>
      </c>
      <c r="H27">
        <v>34</v>
      </c>
      <c r="I27">
        <v>28</v>
      </c>
      <c r="J27">
        <v>0</v>
      </c>
    </row>
    <row r="28" spans="2:10">
      <c r="B28" t="s">
        <v>81</v>
      </c>
      <c r="C28">
        <v>10</v>
      </c>
      <c r="D28">
        <v>13</v>
      </c>
      <c r="E28">
        <v>11</v>
      </c>
      <c r="F28">
        <v>14</v>
      </c>
      <c r="G28">
        <v>15</v>
      </c>
      <c r="H28">
        <v>17</v>
      </c>
      <c r="I28">
        <v>16</v>
      </c>
      <c r="J28">
        <v>15</v>
      </c>
    </row>
    <row r="29" spans="2:10">
      <c r="B29" t="s">
        <v>82</v>
      </c>
      <c r="C29">
        <v>0</v>
      </c>
      <c r="D29">
        <v>0</v>
      </c>
      <c r="E29">
        <v>0</v>
      </c>
      <c r="F29">
        <v>0</v>
      </c>
      <c r="G29">
        <v>0</v>
      </c>
      <c r="H29">
        <v>0</v>
      </c>
      <c r="I29">
        <v>0</v>
      </c>
      <c r="J29">
        <v>0</v>
      </c>
    </row>
    <row r="30" spans="2:10">
      <c r="B30" t="s">
        <v>83</v>
      </c>
      <c r="C30">
        <v>6</v>
      </c>
      <c r="D30">
        <v>0</v>
      </c>
      <c r="E30">
        <v>6</v>
      </c>
      <c r="F30">
        <v>3</v>
      </c>
      <c r="G30">
        <v>9</v>
      </c>
      <c r="H30">
        <v>6</v>
      </c>
      <c r="I30">
        <v>1</v>
      </c>
      <c r="J30">
        <v>0</v>
      </c>
    </row>
    <row r="31" spans="2:10">
      <c r="B31" t="s">
        <v>84</v>
      </c>
      <c r="C31">
        <v>0</v>
      </c>
      <c r="D31">
        <v>0</v>
      </c>
      <c r="E31">
        <v>0</v>
      </c>
      <c r="F31">
        <v>0</v>
      </c>
      <c r="G31">
        <v>0</v>
      </c>
      <c r="H31">
        <v>0</v>
      </c>
      <c r="I31">
        <v>0</v>
      </c>
      <c r="J31">
        <v>0</v>
      </c>
    </row>
    <row r="32" spans="2:10">
      <c r="B32" t="s">
        <v>85</v>
      </c>
      <c r="C32">
        <v>0</v>
      </c>
      <c r="D32">
        <v>0</v>
      </c>
      <c r="E32">
        <v>4</v>
      </c>
      <c r="F32">
        <v>-6</v>
      </c>
      <c r="G32">
        <v>0</v>
      </c>
      <c r="H32">
        <v>6</v>
      </c>
      <c r="I32">
        <v>0</v>
      </c>
      <c r="J32">
        <v>0</v>
      </c>
    </row>
    <row r="33" spans="2:10">
      <c r="B33" t="s">
        <v>86</v>
      </c>
      <c r="C33">
        <v>0</v>
      </c>
      <c r="D33">
        <v>0</v>
      </c>
      <c r="E33">
        <v>-5</v>
      </c>
      <c r="F33">
        <v>10</v>
      </c>
      <c r="G33">
        <v>-5</v>
      </c>
      <c r="H33">
        <v>5</v>
      </c>
      <c r="I33">
        <v>0</v>
      </c>
      <c r="J33">
        <v>0</v>
      </c>
    </row>
    <row r="34" spans="2:10">
      <c r="B34" t="s">
        <v>87</v>
      </c>
      <c r="C34">
        <v>0</v>
      </c>
      <c r="D34">
        <v>0</v>
      </c>
      <c r="E34">
        <v>0</v>
      </c>
      <c r="F34">
        <v>0</v>
      </c>
      <c r="G34">
        <v>0</v>
      </c>
      <c r="H34">
        <v>0</v>
      </c>
      <c r="I34">
        <v>0</v>
      </c>
      <c r="J34">
        <v>0</v>
      </c>
    </row>
    <row r="35" spans="2:10">
      <c r="B35" t="s">
        <v>88</v>
      </c>
      <c r="C35">
        <v>0</v>
      </c>
      <c r="D35">
        <v>0</v>
      </c>
      <c r="E35">
        <v>0</v>
      </c>
      <c r="F35">
        <v>0</v>
      </c>
      <c r="G35">
        <v>0</v>
      </c>
      <c r="H35">
        <v>0</v>
      </c>
      <c r="I35">
        <v>0</v>
      </c>
      <c r="J35">
        <v>0</v>
      </c>
    </row>
    <row r="36" spans="2:10">
      <c r="B36" t="s">
        <v>89</v>
      </c>
      <c r="C36">
        <v>0</v>
      </c>
      <c r="D36">
        <v>0</v>
      </c>
      <c r="E36">
        <v>0</v>
      </c>
      <c r="F36">
        <v>0</v>
      </c>
      <c r="G36">
        <v>-2</v>
      </c>
      <c r="H36">
        <v>2</v>
      </c>
      <c r="I36">
        <v>0</v>
      </c>
      <c r="J36">
        <v>0</v>
      </c>
    </row>
    <row r="37" spans="2:10">
      <c r="B37" t="s">
        <v>90</v>
      </c>
      <c r="C37">
        <v>0</v>
      </c>
      <c r="D37">
        <v>0</v>
      </c>
      <c r="E37">
        <v>0</v>
      </c>
      <c r="F37">
        <v>0</v>
      </c>
      <c r="G37">
        <v>0</v>
      </c>
      <c r="H37">
        <v>0</v>
      </c>
      <c r="I37">
        <v>0</v>
      </c>
      <c r="J37">
        <v>0</v>
      </c>
    </row>
    <row r="38" spans="2:10">
      <c r="B38" t="s">
        <v>91</v>
      </c>
      <c r="C38">
        <v>0</v>
      </c>
      <c r="D38">
        <v>0</v>
      </c>
      <c r="E38">
        <v>0</v>
      </c>
      <c r="F38">
        <v>0</v>
      </c>
      <c r="G38">
        <v>0</v>
      </c>
      <c r="H38">
        <v>0</v>
      </c>
      <c r="I38">
        <v>0</v>
      </c>
      <c r="J38">
        <v>0</v>
      </c>
    </row>
    <row r="39" spans="2:10">
      <c r="B39" t="s">
        <v>92</v>
      </c>
      <c r="C39">
        <v>0</v>
      </c>
      <c r="D39">
        <v>0</v>
      </c>
      <c r="E39">
        <v>0</v>
      </c>
      <c r="F39">
        <v>0</v>
      </c>
      <c r="G39">
        <v>0</v>
      </c>
      <c r="H39">
        <v>0</v>
      </c>
      <c r="I39">
        <v>0</v>
      </c>
      <c r="J39">
        <v>0</v>
      </c>
    </row>
    <row r="40" spans="2:10">
      <c r="B40" t="s">
        <v>93</v>
      </c>
      <c r="C40">
        <v>33</v>
      </c>
      <c r="D40">
        <v>0</v>
      </c>
      <c r="E40">
        <v>15</v>
      </c>
      <c r="F40">
        <v>-3</v>
      </c>
      <c r="G40">
        <v>15</v>
      </c>
      <c r="H40">
        <v>0</v>
      </c>
      <c r="I40">
        <v>-3</v>
      </c>
      <c r="J40">
        <v>2</v>
      </c>
    </row>
    <row r="41" spans="2:10">
      <c r="B41" t="s">
        <v>94</v>
      </c>
      <c r="C41">
        <v>49</v>
      </c>
      <c r="D41">
        <v>13</v>
      </c>
      <c r="E41">
        <v>32</v>
      </c>
      <c r="F41">
        <v>19</v>
      </c>
      <c r="G41">
        <v>33</v>
      </c>
      <c r="H41">
        <v>35</v>
      </c>
      <c r="I41">
        <v>13</v>
      </c>
      <c r="J41">
        <v>17</v>
      </c>
    </row>
    <row r="42" spans="2:10">
      <c r="B42" t="s">
        <v>95</v>
      </c>
      <c r="C42">
        <v>546</v>
      </c>
      <c r="D42">
        <v>783</v>
      </c>
      <c r="E42">
        <v>486</v>
      </c>
      <c r="F42">
        <v>579</v>
      </c>
      <c r="G42">
        <v>435</v>
      </c>
      <c r="H42">
        <v>595</v>
      </c>
      <c r="I42">
        <v>371</v>
      </c>
      <c r="J42">
        <v>462</v>
      </c>
    </row>
    <row r="43" spans="2:10">
      <c r="B43" t="s">
        <v>96</v>
      </c>
      <c r="C43">
        <v>107</v>
      </c>
      <c r="D43">
        <v>141</v>
      </c>
      <c r="E43">
        <v>80</v>
      </c>
      <c r="F43">
        <v>119</v>
      </c>
      <c r="G43">
        <v>84</v>
      </c>
      <c r="H43">
        <v>106</v>
      </c>
      <c r="I43">
        <v>76</v>
      </c>
      <c r="J43">
        <v>94</v>
      </c>
    </row>
    <row r="44" spans="2:10">
      <c r="B44" t="s">
        <v>97</v>
      </c>
      <c r="C44">
        <v>439</v>
      </c>
      <c r="D44">
        <v>642</v>
      </c>
      <c r="E44">
        <v>405</v>
      </c>
      <c r="F44">
        <v>460</v>
      </c>
      <c r="G44">
        <v>351</v>
      </c>
      <c r="H44">
        <v>489</v>
      </c>
      <c r="I44">
        <v>295</v>
      </c>
      <c r="J44">
        <v>368</v>
      </c>
    </row>
    <row r="45" spans="2:10">
      <c r="B45" t="s">
        <v>98</v>
      </c>
      <c r="C45">
        <v>0</v>
      </c>
      <c r="D45">
        <v>0</v>
      </c>
      <c r="E45">
        <v>0</v>
      </c>
      <c r="F45">
        <v>0</v>
      </c>
      <c r="G45">
        <v>0</v>
      </c>
      <c r="H45">
        <v>0</v>
      </c>
      <c r="I45">
        <v>0</v>
      </c>
      <c r="J45">
        <v>0</v>
      </c>
    </row>
    <row r="46" spans="2:10">
      <c r="B46" t="s">
        <v>99</v>
      </c>
      <c r="C46">
        <v>0</v>
      </c>
      <c r="D46">
        <v>0</v>
      </c>
      <c r="E46">
        <v>0</v>
      </c>
      <c r="F46">
        <v>0</v>
      </c>
      <c r="G46">
        <v>0</v>
      </c>
      <c r="H46">
        <v>0</v>
      </c>
      <c r="I46">
        <v>0</v>
      </c>
      <c r="J46">
        <v>0</v>
      </c>
    </row>
    <row r="47" spans="2:10">
      <c r="B47" t="s">
        <v>100</v>
      </c>
      <c r="C47">
        <v>0</v>
      </c>
      <c r="D47">
        <v>0</v>
      </c>
      <c r="E47">
        <v>0</v>
      </c>
      <c r="F47">
        <v>0</v>
      </c>
      <c r="G47">
        <v>0</v>
      </c>
      <c r="H47">
        <v>0</v>
      </c>
      <c r="I47">
        <v>0</v>
      </c>
      <c r="J47">
        <v>0</v>
      </c>
    </row>
    <row r="48" spans="2:10">
      <c r="B48" t="s">
        <v>101</v>
      </c>
      <c r="C48">
        <v>439</v>
      </c>
      <c r="D48">
        <v>642</v>
      </c>
      <c r="E48">
        <v>405</v>
      </c>
      <c r="F48">
        <v>460</v>
      </c>
      <c r="G48">
        <v>351</v>
      </c>
      <c r="H48">
        <v>489</v>
      </c>
      <c r="I48">
        <v>295</v>
      </c>
      <c r="J48">
        <v>368</v>
      </c>
    </row>
    <row r="49" spans="2:10">
      <c r="B49" t="s">
        <v>102</v>
      </c>
      <c r="C49" t="s">
        <v>103</v>
      </c>
      <c r="D49" t="s">
        <v>103</v>
      </c>
      <c r="E49" t="s">
        <v>103</v>
      </c>
      <c r="F49" t="s">
        <v>103</v>
      </c>
      <c r="G49" t="s">
        <v>103</v>
      </c>
      <c r="H49" t="s">
        <v>103</v>
      </c>
      <c r="I49" t="s">
        <v>103</v>
      </c>
      <c r="J49" t="s">
        <v>103</v>
      </c>
    </row>
    <row r="50" spans="2:10">
      <c r="B50" t="s">
        <v>104</v>
      </c>
      <c r="C50">
        <v>6</v>
      </c>
      <c r="D50">
        <v>2</v>
      </c>
      <c r="E50">
        <v>-1</v>
      </c>
      <c r="F50">
        <v>1</v>
      </c>
      <c r="G50">
        <v>0</v>
      </c>
      <c r="H50">
        <v>-1</v>
      </c>
      <c r="I50">
        <v>0</v>
      </c>
      <c r="J50">
        <v>1</v>
      </c>
    </row>
    <row r="51" spans="2:10">
      <c r="B51" t="s">
        <v>105</v>
      </c>
      <c r="C51">
        <v>0</v>
      </c>
      <c r="D51">
        <v>0</v>
      </c>
      <c r="E51">
        <v>0</v>
      </c>
      <c r="F51">
        <v>0</v>
      </c>
      <c r="G51">
        <v>0</v>
      </c>
      <c r="H51">
        <v>0</v>
      </c>
      <c r="I51">
        <v>0</v>
      </c>
      <c r="J51">
        <v>0</v>
      </c>
    </row>
    <row r="52" spans="2:10">
      <c r="B52" t="s">
        <v>13</v>
      </c>
      <c r="C52">
        <v>433</v>
      </c>
      <c r="D52">
        <v>640</v>
      </c>
      <c r="E52">
        <v>406</v>
      </c>
      <c r="F52">
        <v>459</v>
      </c>
      <c r="G52">
        <v>351</v>
      </c>
      <c r="H52">
        <v>489</v>
      </c>
      <c r="I52">
        <v>295</v>
      </c>
      <c r="J52">
        <v>367</v>
      </c>
    </row>
    <row r="53" spans="2:10">
      <c r="B53" t="s">
        <v>14</v>
      </c>
      <c r="C53">
        <v>2.1800000000000002</v>
      </c>
      <c r="D53">
        <v>3.35</v>
      </c>
      <c r="E53">
        <v>2.29</v>
      </c>
      <c r="F53">
        <v>2.56</v>
      </c>
      <c r="G53">
        <v>2.06</v>
      </c>
      <c r="H53">
        <v>2.89</v>
      </c>
      <c r="I53">
        <v>1.76</v>
      </c>
      <c r="J53">
        <v>2.19</v>
      </c>
    </row>
    <row r="54" spans="2:10">
      <c r="B54" t="s">
        <v>106</v>
      </c>
      <c r="C54">
        <v>2.14</v>
      </c>
      <c r="D54">
        <v>3.28</v>
      </c>
      <c r="E54" t="s">
        <v>103</v>
      </c>
      <c r="F54">
        <v>2.5</v>
      </c>
      <c r="G54">
        <v>2</v>
      </c>
      <c r="H54">
        <v>2.8</v>
      </c>
      <c r="I54" t="s">
        <v>103</v>
      </c>
      <c r="J54">
        <v>2.11</v>
      </c>
    </row>
    <row r="55" spans="2:10">
      <c r="B55" t="s">
        <v>107</v>
      </c>
      <c r="C55" s="83">
        <v>1980</v>
      </c>
      <c r="D55" s="83">
        <v>1912</v>
      </c>
      <c r="E55" s="83">
        <v>1773</v>
      </c>
      <c r="F55" s="83">
        <v>1791</v>
      </c>
      <c r="G55" s="83">
        <v>1701</v>
      </c>
      <c r="H55" s="83">
        <v>1692</v>
      </c>
      <c r="I55" s="83">
        <v>1672</v>
      </c>
      <c r="J55" s="83">
        <v>1680</v>
      </c>
    </row>
    <row r="56" spans="2:10">
      <c r="B56" t="s">
        <v>108</v>
      </c>
      <c r="C56">
        <v>0</v>
      </c>
      <c r="D56">
        <v>0</v>
      </c>
      <c r="E56">
        <v>0</v>
      </c>
      <c r="F56">
        <v>0</v>
      </c>
      <c r="G56">
        <v>0</v>
      </c>
      <c r="H56">
        <v>0</v>
      </c>
      <c r="I56">
        <v>0</v>
      </c>
      <c r="J56">
        <v>0</v>
      </c>
    </row>
    <row r="57" spans="2:10">
      <c r="B57" t="s">
        <v>109</v>
      </c>
      <c r="C57" t="s">
        <v>103</v>
      </c>
      <c r="D57" t="s">
        <v>103</v>
      </c>
      <c r="E57">
        <v>0</v>
      </c>
      <c r="F57" t="s">
        <v>103</v>
      </c>
      <c r="G57" t="s">
        <v>103</v>
      </c>
      <c r="H57" t="s">
        <v>103</v>
      </c>
      <c r="I57">
        <v>0</v>
      </c>
      <c r="J57" t="s">
        <v>103</v>
      </c>
    </row>
    <row r="58" spans="2:10">
      <c r="B58" t="s">
        <v>110</v>
      </c>
      <c r="C58">
        <v>0</v>
      </c>
      <c r="D58">
        <v>0</v>
      </c>
      <c r="E58">
        <v>0</v>
      </c>
      <c r="F58">
        <v>0</v>
      </c>
      <c r="G58">
        <v>0</v>
      </c>
      <c r="H58">
        <v>0</v>
      </c>
      <c r="I58">
        <v>0</v>
      </c>
      <c r="J58">
        <v>0</v>
      </c>
    </row>
    <row r="59" spans="2:10">
      <c r="B59" t="s">
        <v>111</v>
      </c>
      <c r="C59">
        <v>0</v>
      </c>
      <c r="D59">
        <v>0</v>
      </c>
      <c r="E59">
        <v>0</v>
      </c>
      <c r="F59">
        <v>0</v>
      </c>
      <c r="G59">
        <v>0</v>
      </c>
      <c r="H59">
        <v>0</v>
      </c>
      <c r="I59">
        <v>0</v>
      </c>
      <c r="J59">
        <v>0</v>
      </c>
    </row>
    <row r="60" spans="2:10">
      <c r="B60" t="s">
        <v>112</v>
      </c>
      <c r="C60">
        <v>556</v>
      </c>
      <c r="D60">
        <v>796</v>
      </c>
      <c r="E60">
        <v>497</v>
      </c>
      <c r="F60">
        <v>594</v>
      </c>
      <c r="G60">
        <v>450</v>
      </c>
      <c r="H60">
        <v>612</v>
      </c>
      <c r="I60">
        <v>387</v>
      </c>
      <c r="J60">
        <v>477</v>
      </c>
    </row>
    <row r="61" spans="2:10">
      <c r="B61" t="s">
        <v>113</v>
      </c>
      <c r="C61">
        <v>634</v>
      </c>
      <c r="D61">
        <v>869</v>
      </c>
      <c r="E61">
        <v>569</v>
      </c>
      <c r="F61">
        <v>658</v>
      </c>
      <c r="G61">
        <v>513</v>
      </c>
      <c r="H61">
        <v>672</v>
      </c>
      <c r="I61">
        <v>441</v>
      </c>
      <c r="J61">
        <v>527</v>
      </c>
    </row>
    <row r="62" spans="2:10">
      <c r="B62" t="s">
        <v>114</v>
      </c>
      <c r="C62">
        <v>438</v>
      </c>
      <c r="D62">
        <v>638</v>
      </c>
      <c r="E62">
        <v>405</v>
      </c>
      <c r="F62">
        <v>473</v>
      </c>
      <c r="G62">
        <v>336</v>
      </c>
      <c r="H62">
        <v>501</v>
      </c>
      <c r="I62">
        <v>282</v>
      </c>
      <c r="J62">
        <v>377</v>
      </c>
    </row>
    <row r="63" spans="2:10">
      <c r="B63" t="s">
        <v>115</v>
      </c>
    </row>
    <row r="64" spans="2:10">
      <c r="B64" t="s">
        <v>116</v>
      </c>
    </row>
    <row r="101" spans="2:10">
      <c r="B101" t="s">
        <v>2490</v>
      </c>
    </row>
    <row r="102" spans="2:10">
      <c r="B102" t="s">
        <v>49</v>
      </c>
    </row>
    <row r="103" spans="2:10">
      <c r="B103" t="s">
        <v>52</v>
      </c>
      <c r="C103" t="s">
        <v>263</v>
      </c>
      <c r="D103" t="s">
        <v>53</v>
      </c>
      <c r="E103" t="s">
        <v>54</v>
      </c>
      <c r="F103" t="s">
        <v>55</v>
      </c>
      <c r="G103" t="s">
        <v>56</v>
      </c>
      <c r="H103" t="s">
        <v>57</v>
      </c>
      <c r="I103" t="s">
        <v>58</v>
      </c>
      <c r="J103" t="s">
        <v>59</v>
      </c>
    </row>
    <row r="104" spans="2:10">
      <c r="B104" t="s">
        <v>181</v>
      </c>
      <c r="C104" s="83">
        <v>2606</v>
      </c>
      <c r="D104" s="83">
        <v>2248</v>
      </c>
      <c r="E104" s="83">
        <v>1648</v>
      </c>
      <c r="F104" s="83">
        <v>1006</v>
      </c>
      <c r="G104" s="83">
        <v>1891</v>
      </c>
      <c r="H104" s="83">
        <v>1486</v>
      </c>
      <c r="I104" s="83">
        <v>1018</v>
      </c>
      <c r="J104" s="83">
        <v>2032</v>
      </c>
    </row>
    <row r="105" spans="2:10">
      <c r="B105" t="s">
        <v>182</v>
      </c>
      <c r="C105">
        <v>53</v>
      </c>
      <c r="D105">
        <v>54</v>
      </c>
      <c r="E105">
        <v>53</v>
      </c>
      <c r="F105">
        <v>61</v>
      </c>
      <c r="G105">
        <v>61</v>
      </c>
      <c r="H105">
        <v>67</v>
      </c>
      <c r="I105">
        <v>163</v>
      </c>
      <c r="J105">
        <v>159</v>
      </c>
    </row>
    <row r="106" spans="2:10">
      <c r="B106" t="s">
        <v>219</v>
      </c>
      <c r="C106">
        <v>741</v>
      </c>
      <c r="D106">
        <v>962</v>
      </c>
      <c r="E106" s="83">
        <v>1319</v>
      </c>
      <c r="F106" s="83">
        <v>1552</v>
      </c>
      <c r="G106">
        <v>375</v>
      </c>
      <c r="H106">
        <v>453</v>
      </c>
      <c r="I106">
        <v>293</v>
      </c>
      <c r="J106">
        <v>291</v>
      </c>
    </row>
    <row r="107" spans="2:10">
      <c r="B107" t="s">
        <v>183</v>
      </c>
      <c r="C107">
        <v>0</v>
      </c>
      <c r="D107">
        <v>0</v>
      </c>
      <c r="E107">
        <v>0</v>
      </c>
      <c r="F107">
        <v>0</v>
      </c>
      <c r="G107">
        <v>0</v>
      </c>
      <c r="H107">
        <v>0</v>
      </c>
      <c r="I107">
        <v>0</v>
      </c>
      <c r="J107">
        <v>0</v>
      </c>
    </row>
    <row r="108" spans="2:10">
      <c r="B108" t="s">
        <v>220</v>
      </c>
      <c r="C108">
        <v>0</v>
      </c>
      <c r="D108">
        <v>0</v>
      </c>
      <c r="E108">
        <v>0</v>
      </c>
      <c r="F108">
        <v>0</v>
      </c>
      <c r="G108">
        <v>0</v>
      </c>
      <c r="H108">
        <v>0</v>
      </c>
      <c r="I108">
        <v>0</v>
      </c>
      <c r="J108">
        <v>0</v>
      </c>
    </row>
    <row r="109" spans="2:10">
      <c r="B109" t="s">
        <v>15</v>
      </c>
      <c r="C109" s="83">
        <v>3237</v>
      </c>
      <c r="D109" s="83">
        <v>2066</v>
      </c>
      <c r="E109" s="83">
        <v>2745</v>
      </c>
      <c r="F109" s="83">
        <v>2915</v>
      </c>
      <c r="G109" s="83">
        <v>3128</v>
      </c>
      <c r="H109" s="83">
        <v>2034</v>
      </c>
      <c r="I109" s="83">
        <v>2872</v>
      </c>
      <c r="J109" s="83">
        <v>2376</v>
      </c>
    </row>
    <row r="110" spans="2:10">
      <c r="B110" t="s">
        <v>221</v>
      </c>
      <c r="C110" t="s">
        <v>103</v>
      </c>
      <c r="D110" t="s">
        <v>103</v>
      </c>
      <c r="E110" t="s">
        <v>103</v>
      </c>
      <c r="F110" t="s">
        <v>103</v>
      </c>
      <c r="G110" t="s">
        <v>103</v>
      </c>
      <c r="H110" t="s">
        <v>103</v>
      </c>
      <c r="I110" t="s">
        <v>103</v>
      </c>
      <c r="J110" t="s">
        <v>103</v>
      </c>
    </row>
    <row r="111" spans="2:10">
      <c r="B111" t="s">
        <v>184</v>
      </c>
      <c r="C111">
        <v>79</v>
      </c>
      <c r="D111">
        <v>77</v>
      </c>
      <c r="E111">
        <v>59</v>
      </c>
      <c r="F111">
        <v>69</v>
      </c>
      <c r="G111">
        <v>60</v>
      </c>
      <c r="H111">
        <v>64</v>
      </c>
      <c r="I111">
        <v>67</v>
      </c>
      <c r="J111">
        <v>101</v>
      </c>
    </row>
    <row r="112" spans="2:10">
      <c r="B112" t="s">
        <v>185</v>
      </c>
      <c r="C112">
        <v>244</v>
      </c>
      <c r="D112">
        <v>203</v>
      </c>
      <c r="E112">
        <v>207</v>
      </c>
      <c r="F112">
        <v>271</v>
      </c>
      <c r="G112">
        <v>164</v>
      </c>
      <c r="H112">
        <v>179</v>
      </c>
      <c r="I112">
        <v>183</v>
      </c>
      <c r="J112">
        <v>152</v>
      </c>
    </row>
    <row r="113" spans="2:10">
      <c r="B113" t="s">
        <v>186</v>
      </c>
      <c r="C113" s="83">
        <v>9291</v>
      </c>
      <c r="D113" s="83">
        <v>7971</v>
      </c>
      <c r="E113" s="83">
        <v>7159</v>
      </c>
      <c r="F113" s="83">
        <v>7252</v>
      </c>
      <c r="G113" s="83">
        <v>7603</v>
      </c>
      <c r="H113" s="83">
        <v>6091</v>
      </c>
      <c r="I113" s="83">
        <v>5551</v>
      </c>
      <c r="J113" s="83">
        <v>6802</v>
      </c>
    </row>
    <row r="114" spans="2:10">
      <c r="B114" t="s">
        <v>187</v>
      </c>
      <c r="C114">
        <v>196</v>
      </c>
      <c r="D114">
        <v>207</v>
      </c>
      <c r="E114">
        <v>210</v>
      </c>
      <c r="F114">
        <v>208</v>
      </c>
      <c r="G114">
        <v>206</v>
      </c>
      <c r="H114">
        <v>131</v>
      </c>
      <c r="I114">
        <v>134</v>
      </c>
      <c r="J114">
        <v>0</v>
      </c>
    </row>
    <row r="115" spans="2:10">
      <c r="B115" t="s">
        <v>188</v>
      </c>
      <c r="C115" s="83">
        <v>2708</v>
      </c>
      <c r="D115" t="s">
        <v>103</v>
      </c>
      <c r="E115" s="83">
        <v>2686</v>
      </c>
      <c r="F115" s="83">
        <v>2679</v>
      </c>
      <c r="G115" s="83">
        <v>2676</v>
      </c>
      <c r="H115" t="s">
        <v>103</v>
      </c>
      <c r="I115" s="83">
        <v>2677</v>
      </c>
      <c r="J115">
        <v>191</v>
      </c>
    </row>
    <row r="116" spans="2:10">
      <c r="B116" t="s">
        <v>189</v>
      </c>
      <c r="C116">
        <v>995</v>
      </c>
      <c r="D116" t="s">
        <v>103</v>
      </c>
      <c r="E116">
        <v>965</v>
      </c>
      <c r="F116">
        <v>889</v>
      </c>
      <c r="G116">
        <v>919</v>
      </c>
      <c r="H116" t="s">
        <v>103</v>
      </c>
      <c r="I116">
        <v>908</v>
      </c>
      <c r="J116">
        <v>491</v>
      </c>
    </row>
    <row r="117" spans="2:10">
      <c r="B117" t="s">
        <v>190</v>
      </c>
      <c r="C117" s="83">
        <v>1486</v>
      </c>
      <c r="D117" t="s">
        <v>103</v>
      </c>
      <c r="E117" s="83">
        <v>1431</v>
      </c>
      <c r="F117" s="83">
        <v>1348</v>
      </c>
      <c r="G117" s="83">
        <v>1266</v>
      </c>
      <c r="H117" t="s">
        <v>103</v>
      </c>
      <c r="I117" s="83">
        <v>1170</v>
      </c>
      <c r="J117" s="83">
        <v>1109</v>
      </c>
    </row>
    <row r="118" spans="2:10">
      <c r="B118" t="s">
        <v>191</v>
      </c>
      <c r="C118" s="83">
        <v>1093</v>
      </c>
      <c r="D118" t="s">
        <v>103</v>
      </c>
      <c r="E118" s="83">
        <v>1053</v>
      </c>
      <c r="F118">
        <v>984</v>
      </c>
      <c r="G118">
        <v>949</v>
      </c>
      <c r="H118" t="s">
        <v>103</v>
      </c>
      <c r="I118">
        <v>917</v>
      </c>
      <c r="J118">
        <v>844</v>
      </c>
    </row>
    <row r="119" spans="2:10">
      <c r="B119" t="s">
        <v>192</v>
      </c>
      <c r="C119">
        <v>0</v>
      </c>
      <c r="D119" t="s">
        <v>103</v>
      </c>
      <c r="E119">
        <v>0</v>
      </c>
      <c r="F119">
        <v>0</v>
      </c>
      <c r="G119">
        <v>0</v>
      </c>
      <c r="H119" t="s">
        <v>103</v>
      </c>
      <c r="I119">
        <v>0</v>
      </c>
      <c r="J119">
        <v>0</v>
      </c>
    </row>
    <row r="120" spans="2:10">
      <c r="B120" t="s">
        <v>193</v>
      </c>
      <c r="C120" s="83">
        <v>-1871</v>
      </c>
      <c r="D120" t="s">
        <v>103</v>
      </c>
      <c r="E120" s="83">
        <v>-1768</v>
      </c>
      <c r="F120" s="83">
        <v>-1678</v>
      </c>
      <c r="G120" s="83">
        <v>-1639</v>
      </c>
      <c r="H120" t="s">
        <v>103</v>
      </c>
      <c r="I120" s="83">
        <v>-1550</v>
      </c>
      <c r="J120" s="83">
        <v>-1474</v>
      </c>
    </row>
    <row r="121" spans="2:10">
      <c r="B121" t="s">
        <v>194</v>
      </c>
      <c r="C121">
        <v>0</v>
      </c>
      <c r="D121" t="s">
        <v>103</v>
      </c>
      <c r="E121">
        <v>0</v>
      </c>
      <c r="F121">
        <v>0</v>
      </c>
      <c r="G121">
        <v>0</v>
      </c>
      <c r="H121" t="s">
        <v>103</v>
      </c>
      <c r="I121">
        <v>0</v>
      </c>
      <c r="J121">
        <v>0</v>
      </c>
    </row>
    <row r="122" spans="2:10">
      <c r="B122" t="s">
        <v>195</v>
      </c>
      <c r="C122">
        <v>0</v>
      </c>
      <c r="D122" t="s">
        <v>103</v>
      </c>
      <c r="E122">
        <v>0</v>
      </c>
      <c r="F122">
        <v>0</v>
      </c>
      <c r="G122">
        <v>0</v>
      </c>
      <c r="H122" t="s">
        <v>103</v>
      </c>
      <c r="I122">
        <v>0</v>
      </c>
      <c r="J122">
        <v>0</v>
      </c>
    </row>
    <row r="123" spans="2:10">
      <c r="B123" t="s">
        <v>196</v>
      </c>
      <c r="C123" s="83">
        <v>4411</v>
      </c>
      <c r="D123" s="83">
        <v>4362</v>
      </c>
      <c r="E123" s="83">
        <v>4368</v>
      </c>
      <c r="F123" s="83">
        <v>4222</v>
      </c>
      <c r="G123" s="83">
        <v>4170</v>
      </c>
      <c r="H123" s="83">
        <v>4141</v>
      </c>
      <c r="I123" s="83">
        <v>4121</v>
      </c>
      <c r="J123" s="83">
        <v>1161</v>
      </c>
    </row>
    <row r="124" spans="2:10">
      <c r="B124" t="s">
        <v>197</v>
      </c>
      <c r="C124">
        <v>73</v>
      </c>
      <c r="D124">
        <v>71</v>
      </c>
      <c r="E124">
        <v>43</v>
      </c>
      <c r="F124">
        <v>47</v>
      </c>
      <c r="G124">
        <v>42</v>
      </c>
      <c r="H124">
        <v>42</v>
      </c>
      <c r="I124">
        <v>41</v>
      </c>
      <c r="J124">
        <v>51</v>
      </c>
    </row>
    <row r="125" spans="2:10">
      <c r="B125" t="s">
        <v>198</v>
      </c>
      <c r="C125">
        <v>37</v>
      </c>
      <c r="D125">
        <v>40</v>
      </c>
      <c r="E125">
        <v>42</v>
      </c>
      <c r="F125">
        <v>45</v>
      </c>
      <c r="G125">
        <v>43</v>
      </c>
      <c r="H125">
        <v>33</v>
      </c>
      <c r="I125">
        <v>36</v>
      </c>
      <c r="J125">
        <v>35</v>
      </c>
    </row>
    <row r="126" spans="2:10">
      <c r="B126" t="s">
        <v>199</v>
      </c>
      <c r="C126">
        <v>266</v>
      </c>
      <c r="D126">
        <v>175</v>
      </c>
      <c r="E126">
        <v>171</v>
      </c>
      <c r="F126">
        <v>239</v>
      </c>
      <c r="G126">
        <v>257</v>
      </c>
      <c r="H126">
        <v>242</v>
      </c>
      <c r="I126">
        <v>212</v>
      </c>
      <c r="J126">
        <v>237</v>
      </c>
    </row>
    <row r="127" spans="2:10">
      <c r="B127" t="s">
        <v>200</v>
      </c>
      <c r="C127">
        <v>375</v>
      </c>
      <c r="D127">
        <v>286</v>
      </c>
      <c r="E127">
        <v>257</v>
      </c>
      <c r="F127">
        <v>331</v>
      </c>
      <c r="G127">
        <v>341</v>
      </c>
      <c r="H127">
        <v>317</v>
      </c>
      <c r="I127">
        <v>289</v>
      </c>
      <c r="J127">
        <v>323</v>
      </c>
    </row>
    <row r="128" spans="2:10">
      <c r="B128" t="s">
        <v>18</v>
      </c>
      <c r="C128" s="83">
        <v>14273</v>
      </c>
      <c r="D128" s="83">
        <v>12826</v>
      </c>
      <c r="E128" s="83">
        <v>11994</v>
      </c>
      <c r="F128" s="83">
        <v>12012</v>
      </c>
      <c r="G128" s="83">
        <v>12320</v>
      </c>
      <c r="H128" s="83">
        <v>10680</v>
      </c>
      <c r="I128" s="83">
        <v>10095</v>
      </c>
      <c r="J128" s="83">
        <v>8286</v>
      </c>
    </row>
    <row r="129" spans="2:10">
      <c r="B129" t="s">
        <v>222</v>
      </c>
      <c r="C129">
        <v>791</v>
      </c>
      <c r="D129">
        <v>489</v>
      </c>
      <c r="E129">
        <v>100</v>
      </c>
      <c r="F129">
        <v>710</v>
      </c>
      <c r="G129" s="83">
        <v>1526</v>
      </c>
      <c r="H129" s="83">
        <v>1338</v>
      </c>
      <c r="I129">
        <v>0</v>
      </c>
      <c r="J129">
        <v>222</v>
      </c>
    </row>
    <row r="130" spans="2:10">
      <c r="B130" t="s">
        <v>223</v>
      </c>
      <c r="C130">
        <v>0</v>
      </c>
      <c r="D130">
        <v>0</v>
      </c>
      <c r="E130">
        <v>0</v>
      </c>
      <c r="F130">
        <v>0</v>
      </c>
      <c r="G130">
        <v>500</v>
      </c>
      <c r="H130">
        <v>300</v>
      </c>
      <c r="I130">
        <v>0</v>
      </c>
      <c r="J130">
        <v>0</v>
      </c>
    </row>
    <row r="131" spans="2:10">
      <c r="B131" t="s">
        <v>16</v>
      </c>
      <c r="C131" s="83">
        <v>1930</v>
      </c>
      <c r="D131" s="83">
        <v>1168</v>
      </c>
      <c r="E131" s="83">
        <v>1457</v>
      </c>
      <c r="F131" s="83">
        <v>1677</v>
      </c>
      <c r="G131" s="83">
        <v>1971</v>
      </c>
      <c r="H131">
        <v>953</v>
      </c>
      <c r="I131" s="83">
        <v>1448</v>
      </c>
      <c r="J131" s="83">
        <v>1173</v>
      </c>
    </row>
    <row r="132" spans="2:10">
      <c r="B132" t="s">
        <v>201</v>
      </c>
      <c r="C132">
        <v>0</v>
      </c>
      <c r="D132">
        <v>0</v>
      </c>
      <c r="E132">
        <v>0</v>
      </c>
      <c r="F132">
        <v>0</v>
      </c>
      <c r="G132">
        <v>0</v>
      </c>
      <c r="H132">
        <v>0</v>
      </c>
      <c r="I132">
        <v>0</v>
      </c>
      <c r="J132">
        <v>0</v>
      </c>
    </row>
    <row r="133" spans="2:10">
      <c r="B133" t="s">
        <v>202</v>
      </c>
      <c r="C133">
        <v>0</v>
      </c>
      <c r="D133">
        <v>0</v>
      </c>
      <c r="E133">
        <v>0</v>
      </c>
      <c r="F133">
        <v>0</v>
      </c>
      <c r="G133">
        <v>0</v>
      </c>
      <c r="H133">
        <v>0</v>
      </c>
      <c r="I133">
        <v>0</v>
      </c>
      <c r="J133">
        <v>0</v>
      </c>
    </row>
    <row r="134" spans="2:10">
      <c r="B134" t="s">
        <v>203</v>
      </c>
      <c r="C134" s="83">
        <v>2697</v>
      </c>
      <c r="D134" s="83">
        <v>1161</v>
      </c>
      <c r="E134" s="83">
        <v>1236</v>
      </c>
      <c r="F134" s="83">
        <v>1049</v>
      </c>
      <c r="G134" s="83">
        <v>2482</v>
      </c>
      <c r="H134" s="83">
        <v>1095</v>
      </c>
      <c r="I134" s="83">
        <v>1095</v>
      </c>
      <c r="J134">
        <v>930</v>
      </c>
    </row>
    <row r="135" spans="2:10">
      <c r="B135" t="s">
        <v>204</v>
      </c>
      <c r="C135">
        <v>270</v>
      </c>
      <c r="D135">
        <v>388</v>
      </c>
      <c r="E135">
        <v>257</v>
      </c>
      <c r="F135">
        <v>190</v>
      </c>
      <c r="G135">
        <v>204</v>
      </c>
      <c r="H135">
        <v>297</v>
      </c>
      <c r="I135">
        <v>195</v>
      </c>
      <c r="J135">
        <v>144</v>
      </c>
    </row>
    <row r="136" spans="2:10">
      <c r="B136" t="s">
        <v>205</v>
      </c>
      <c r="C136">
        <v>277</v>
      </c>
      <c r="D136">
        <v>279</v>
      </c>
      <c r="E136">
        <v>303</v>
      </c>
      <c r="F136">
        <v>330</v>
      </c>
      <c r="G136">
        <v>0</v>
      </c>
      <c r="H136">
        <v>0</v>
      </c>
      <c r="I136">
        <v>0</v>
      </c>
      <c r="J136">
        <v>9</v>
      </c>
    </row>
    <row r="137" spans="2:10">
      <c r="B137" t="s">
        <v>206</v>
      </c>
      <c r="C137">
        <v>328</v>
      </c>
      <c r="D137">
        <v>329</v>
      </c>
      <c r="E137">
        <v>263</v>
      </c>
      <c r="F137">
        <v>245</v>
      </c>
      <c r="G137">
        <v>224</v>
      </c>
      <c r="H137">
        <v>262</v>
      </c>
      <c r="I137">
        <v>272</v>
      </c>
      <c r="J137">
        <v>220</v>
      </c>
    </row>
    <row r="138" spans="2:10">
      <c r="B138" t="s">
        <v>207</v>
      </c>
      <c r="C138" s="83">
        <v>6294</v>
      </c>
      <c r="D138" s="83">
        <v>3814</v>
      </c>
      <c r="E138" s="83">
        <v>3616</v>
      </c>
      <c r="F138" s="83">
        <v>4203</v>
      </c>
      <c r="G138" s="83">
        <v>6906</v>
      </c>
      <c r="H138" s="83">
        <v>4255</v>
      </c>
      <c r="I138" s="83">
        <v>3010</v>
      </c>
      <c r="J138" s="83">
        <v>2700</v>
      </c>
    </row>
    <row r="139" spans="2:10">
      <c r="B139" t="s">
        <v>208</v>
      </c>
      <c r="C139">
        <v>0</v>
      </c>
      <c r="D139">
        <v>0</v>
      </c>
      <c r="E139">
        <v>0</v>
      </c>
      <c r="F139">
        <v>0</v>
      </c>
      <c r="G139">
        <v>337</v>
      </c>
      <c r="H139">
        <v>394</v>
      </c>
      <c r="I139" s="83">
        <v>1640</v>
      </c>
      <c r="J139">
        <v>463</v>
      </c>
    </row>
    <row r="140" spans="2:10">
      <c r="B140" t="s">
        <v>209</v>
      </c>
      <c r="C140">
        <v>0</v>
      </c>
      <c r="D140">
        <v>0</v>
      </c>
      <c r="E140">
        <v>0</v>
      </c>
      <c r="F140">
        <v>0</v>
      </c>
      <c r="G140">
        <v>0</v>
      </c>
      <c r="H140">
        <v>0</v>
      </c>
      <c r="I140">
        <v>0</v>
      </c>
      <c r="J140">
        <v>0</v>
      </c>
    </row>
    <row r="141" spans="2:10">
      <c r="B141" t="s">
        <v>210</v>
      </c>
      <c r="C141">
        <v>184</v>
      </c>
      <c r="D141">
        <v>192</v>
      </c>
      <c r="E141">
        <v>126</v>
      </c>
      <c r="F141">
        <v>125</v>
      </c>
      <c r="G141">
        <v>168</v>
      </c>
      <c r="H141">
        <v>160</v>
      </c>
      <c r="I141">
        <v>101</v>
      </c>
      <c r="J141">
        <v>153</v>
      </c>
    </row>
    <row r="142" spans="2:10">
      <c r="B142" t="s">
        <v>211</v>
      </c>
      <c r="C142">
        <v>12</v>
      </c>
      <c r="D142">
        <v>12</v>
      </c>
      <c r="E142">
        <v>12</v>
      </c>
      <c r="F142">
        <v>3</v>
      </c>
      <c r="G142">
        <v>3</v>
      </c>
      <c r="H142">
        <v>3</v>
      </c>
      <c r="I142">
        <v>3</v>
      </c>
      <c r="J142">
        <v>0</v>
      </c>
    </row>
    <row r="143" spans="2:10">
      <c r="B143" t="s">
        <v>212</v>
      </c>
      <c r="C143">
        <v>0</v>
      </c>
      <c r="D143">
        <v>0</v>
      </c>
      <c r="E143">
        <v>0</v>
      </c>
      <c r="F143">
        <v>0</v>
      </c>
      <c r="G143">
        <v>0</v>
      </c>
      <c r="H143">
        <v>0</v>
      </c>
      <c r="I143">
        <v>0</v>
      </c>
      <c r="J143">
        <v>0</v>
      </c>
    </row>
    <row r="144" spans="2:10">
      <c r="B144" t="s">
        <v>213</v>
      </c>
      <c r="C144">
        <v>0</v>
      </c>
      <c r="D144">
        <v>0</v>
      </c>
      <c r="E144">
        <v>0</v>
      </c>
      <c r="F144">
        <v>0</v>
      </c>
      <c r="G144">
        <v>0</v>
      </c>
      <c r="H144">
        <v>0</v>
      </c>
      <c r="I144">
        <v>0</v>
      </c>
      <c r="J144">
        <v>0</v>
      </c>
    </row>
    <row r="145" spans="2:10">
      <c r="B145" t="s">
        <v>214</v>
      </c>
      <c r="C145">
        <v>15</v>
      </c>
      <c r="D145">
        <v>10</v>
      </c>
      <c r="E145">
        <v>16</v>
      </c>
      <c r="F145">
        <v>12</v>
      </c>
      <c r="G145">
        <v>12</v>
      </c>
      <c r="H145">
        <v>12</v>
      </c>
      <c r="I145">
        <v>12</v>
      </c>
      <c r="J145">
        <v>0</v>
      </c>
    </row>
    <row r="146" spans="2:10">
      <c r="B146" t="s">
        <v>215</v>
      </c>
      <c r="C146">
        <v>211</v>
      </c>
      <c r="D146">
        <v>214</v>
      </c>
      <c r="E146">
        <v>155</v>
      </c>
      <c r="F146">
        <v>140</v>
      </c>
      <c r="G146">
        <v>183</v>
      </c>
      <c r="H146">
        <v>174</v>
      </c>
      <c r="I146">
        <v>116</v>
      </c>
      <c r="J146">
        <v>154</v>
      </c>
    </row>
    <row r="147" spans="2:10">
      <c r="B147" t="s">
        <v>17</v>
      </c>
      <c r="C147" s="83">
        <v>6505</v>
      </c>
      <c r="D147" s="83">
        <v>4028</v>
      </c>
      <c r="E147" s="83">
        <v>3771</v>
      </c>
      <c r="F147" s="83">
        <v>4342</v>
      </c>
      <c r="G147" s="83">
        <v>7426</v>
      </c>
      <c r="H147" s="83">
        <v>4824</v>
      </c>
      <c r="I147" s="83">
        <v>4765</v>
      </c>
      <c r="J147" s="83">
        <v>3316</v>
      </c>
    </row>
    <row r="148" spans="2:10">
      <c r="B148" t="s">
        <v>216</v>
      </c>
      <c r="C148" s="83">
        <v>7769</v>
      </c>
      <c r="D148" s="83">
        <v>8797</v>
      </c>
      <c r="E148" s="83">
        <v>8223</v>
      </c>
      <c r="F148" s="83">
        <v>7670</v>
      </c>
      <c r="G148" s="83">
        <v>4894</v>
      </c>
      <c r="H148" s="83">
        <v>5856</v>
      </c>
      <c r="I148" s="83">
        <v>5330</v>
      </c>
      <c r="J148" s="83">
        <v>4970</v>
      </c>
    </row>
    <row r="149" spans="2:10">
      <c r="B149" t="s">
        <v>224</v>
      </c>
      <c r="C149" s="83">
        <v>1914</v>
      </c>
      <c r="D149" s="83">
        <v>1913</v>
      </c>
      <c r="E149" s="83">
        <v>1910</v>
      </c>
      <c r="F149" s="83">
        <v>1906</v>
      </c>
      <c r="G149" s="83">
        <v>1705</v>
      </c>
      <c r="H149" s="83">
        <v>1697</v>
      </c>
      <c r="I149" s="83">
        <v>1691</v>
      </c>
      <c r="J149" s="83">
        <v>1685</v>
      </c>
    </row>
    <row r="150" spans="2:10">
      <c r="B150" t="s">
        <v>225</v>
      </c>
      <c r="C150">
        <v>0</v>
      </c>
      <c r="D150">
        <v>0</v>
      </c>
      <c r="E150">
        <v>0</v>
      </c>
      <c r="F150">
        <v>0</v>
      </c>
      <c r="G150">
        <v>0</v>
      </c>
      <c r="H150">
        <v>0</v>
      </c>
      <c r="I150">
        <v>0</v>
      </c>
      <c r="J150">
        <v>0</v>
      </c>
    </row>
    <row r="151" spans="2:10">
      <c r="B151" t="s">
        <v>226</v>
      </c>
      <c r="C151" s="83">
        <v>3357</v>
      </c>
      <c r="D151" s="83">
        <v>3407</v>
      </c>
      <c r="E151" s="83">
        <v>3386</v>
      </c>
      <c r="F151" s="83">
        <v>3361</v>
      </c>
      <c r="G151" s="83">
        <v>1337</v>
      </c>
      <c r="H151" s="83">
        <v>1286</v>
      </c>
      <c r="I151" s="83">
        <v>1245</v>
      </c>
      <c r="J151" s="83">
        <v>1216</v>
      </c>
    </row>
    <row r="152" spans="2:10">
      <c r="B152" t="s">
        <v>227</v>
      </c>
      <c r="C152" s="83">
        <v>1178</v>
      </c>
      <c r="D152" s="83">
        <v>1008</v>
      </c>
      <c r="E152" s="83">
        <v>1008</v>
      </c>
      <c r="F152" s="83">
        <v>1008</v>
      </c>
      <c r="G152" s="83">
        <v>1008</v>
      </c>
      <c r="H152">
        <v>873</v>
      </c>
      <c r="I152">
        <v>873</v>
      </c>
      <c r="J152">
        <v>873</v>
      </c>
    </row>
    <row r="153" spans="2:10">
      <c r="B153" t="s">
        <v>228</v>
      </c>
      <c r="C153">
        <v>0</v>
      </c>
      <c r="D153">
        <v>3</v>
      </c>
      <c r="E153">
        <v>3</v>
      </c>
      <c r="F153">
        <v>3</v>
      </c>
      <c r="G153">
        <v>3</v>
      </c>
      <c r="H153">
        <v>103</v>
      </c>
      <c r="I153">
        <v>103</v>
      </c>
      <c r="J153">
        <v>103</v>
      </c>
    </row>
    <row r="154" spans="2:10">
      <c r="B154" t="s">
        <v>229</v>
      </c>
      <c r="C154" s="83">
        <v>1122</v>
      </c>
      <c r="D154" s="83">
        <v>2331</v>
      </c>
      <c r="E154" s="83">
        <v>1751</v>
      </c>
      <c r="F154" s="83">
        <v>1345</v>
      </c>
      <c r="G154">
        <v>835</v>
      </c>
      <c r="H154" s="83">
        <v>1833</v>
      </c>
      <c r="I154" s="83">
        <v>1390</v>
      </c>
      <c r="J154" s="83">
        <v>1095</v>
      </c>
    </row>
    <row r="155" spans="2:10">
      <c r="B155" t="s">
        <v>230</v>
      </c>
      <c r="C155">
        <v>0</v>
      </c>
      <c r="D155">
        <v>0</v>
      </c>
      <c r="E155">
        <v>0</v>
      </c>
      <c r="F155">
        <v>0</v>
      </c>
      <c r="G155">
        <v>0</v>
      </c>
      <c r="H155">
        <v>0</v>
      </c>
      <c r="I155">
        <v>0</v>
      </c>
      <c r="J155">
        <v>0</v>
      </c>
    </row>
    <row r="156" spans="2:10">
      <c r="B156" t="s">
        <v>217</v>
      </c>
      <c r="C156">
        <v>47</v>
      </c>
      <c r="D156">
        <v>17</v>
      </c>
      <c r="E156">
        <v>16</v>
      </c>
      <c r="F156">
        <v>16</v>
      </c>
      <c r="G156">
        <v>32</v>
      </c>
      <c r="H156">
        <v>30</v>
      </c>
      <c r="I156">
        <v>31</v>
      </c>
      <c r="J156">
        <v>31</v>
      </c>
    </row>
    <row r="157" spans="2:10">
      <c r="B157" t="s">
        <v>218</v>
      </c>
      <c r="C157" s="83">
        <v>14273</v>
      </c>
      <c r="D157" s="83">
        <v>12826</v>
      </c>
      <c r="E157" s="83">
        <v>11994</v>
      </c>
      <c r="F157" s="83">
        <v>12012</v>
      </c>
      <c r="G157" s="83">
        <v>12320</v>
      </c>
      <c r="H157" s="83">
        <v>10680</v>
      </c>
      <c r="I157" s="83">
        <v>10095</v>
      </c>
      <c r="J157" s="83">
        <v>8286</v>
      </c>
    </row>
    <row r="158" spans="2:10">
      <c r="B158" t="s">
        <v>115</v>
      </c>
    </row>
    <row r="159" spans="2:10">
      <c r="B159" t="s">
        <v>116</v>
      </c>
    </row>
    <row r="201" spans="2:10">
      <c r="B201" t="s">
        <v>2489</v>
      </c>
    </row>
    <row r="202" spans="2:10">
      <c r="B202" t="s">
        <v>49</v>
      </c>
    </row>
    <row r="203" spans="2:10">
      <c r="B203" t="s">
        <v>52</v>
      </c>
      <c r="C203" t="s">
        <v>263</v>
      </c>
      <c r="D203" t="s">
        <v>53</v>
      </c>
      <c r="E203" t="s">
        <v>54</v>
      </c>
      <c r="F203" t="s">
        <v>55</v>
      </c>
      <c r="G203" t="s">
        <v>56</v>
      </c>
      <c r="H203" t="s">
        <v>57</v>
      </c>
      <c r="I203" t="s">
        <v>58</v>
      </c>
      <c r="J203" t="s">
        <v>59</v>
      </c>
    </row>
    <row r="204" spans="2:10">
      <c r="B204" t="s">
        <v>117</v>
      </c>
      <c r="C204">
        <v>439</v>
      </c>
      <c r="D204">
        <v>642</v>
      </c>
      <c r="E204">
        <v>405</v>
      </c>
      <c r="F204">
        <v>460</v>
      </c>
      <c r="G204">
        <v>351</v>
      </c>
      <c r="H204">
        <v>489</v>
      </c>
      <c r="I204">
        <v>295</v>
      </c>
      <c r="J204">
        <v>368</v>
      </c>
    </row>
    <row r="205" spans="2:10">
      <c r="B205" t="s">
        <v>118</v>
      </c>
      <c r="C205">
        <v>0</v>
      </c>
      <c r="D205">
        <v>0</v>
      </c>
      <c r="E205">
        <v>0</v>
      </c>
      <c r="F205">
        <v>0</v>
      </c>
      <c r="G205">
        <v>0</v>
      </c>
      <c r="H205">
        <v>0</v>
      </c>
      <c r="I205">
        <v>0</v>
      </c>
      <c r="J205">
        <v>0</v>
      </c>
    </row>
    <row r="206" spans="2:10">
      <c r="B206" t="s">
        <v>119</v>
      </c>
      <c r="C206">
        <v>75</v>
      </c>
      <c r="D206">
        <v>69</v>
      </c>
      <c r="E206">
        <v>69</v>
      </c>
      <c r="F206">
        <v>61</v>
      </c>
      <c r="G206">
        <v>60</v>
      </c>
      <c r="H206">
        <v>57</v>
      </c>
      <c r="I206">
        <v>51</v>
      </c>
      <c r="J206">
        <v>47</v>
      </c>
    </row>
    <row r="207" spans="2:10">
      <c r="B207" t="s">
        <v>120</v>
      </c>
      <c r="C207">
        <v>3</v>
      </c>
      <c r="D207">
        <v>3</v>
      </c>
      <c r="E207">
        <v>3</v>
      </c>
      <c r="F207">
        <v>3</v>
      </c>
      <c r="G207">
        <v>3</v>
      </c>
      <c r="H207">
        <v>3</v>
      </c>
      <c r="I207">
        <v>3</v>
      </c>
      <c r="J207">
        <v>3</v>
      </c>
    </row>
    <row r="208" spans="2:10">
      <c r="B208" t="s">
        <v>121</v>
      </c>
      <c r="C208">
        <v>1</v>
      </c>
      <c r="D208">
        <v>-1</v>
      </c>
      <c r="E208">
        <v>0</v>
      </c>
      <c r="F208">
        <v>0</v>
      </c>
      <c r="G208">
        <v>0</v>
      </c>
      <c r="H208">
        <v>0</v>
      </c>
      <c r="I208">
        <v>0</v>
      </c>
      <c r="J208">
        <v>0</v>
      </c>
    </row>
    <row r="209" spans="2:10">
      <c r="B209" t="s">
        <v>122</v>
      </c>
      <c r="C209">
        <v>6</v>
      </c>
      <c r="D209">
        <v>0</v>
      </c>
      <c r="E209">
        <v>6</v>
      </c>
      <c r="F209">
        <v>3</v>
      </c>
      <c r="G209">
        <v>9</v>
      </c>
      <c r="H209">
        <v>6</v>
      </c>
      <c r="I209">
        <v>1</v>
      </c>
      <c r="J209">
        <v>0</v>
      </c>
    </row>
    <row r="210" spans="2:10">
      <c r="B210" t="s">
        <v>123</v>
      </c>
      <c r="C210">
        <v>0</v>
      </c>
      <c r="D210">
        <v>0</v>
      </c>
      <c r="E210">
        <v>0</v>
      </c>
      <c r="F210">
        <v>0</v>
      </c>
      <c r="G210">
        <v>0</v>
      </c>
      <c r="H210">
        <v>0</v>
      </c>
      <c r="I210">
        <v>0</v>
      </c>
      <c r="J210">
        <v>0</v>
      </c>
    </row>
    <row r="211" spans="2:10">
      <c r="B211" t="s">
        <v>124</v>
      </c>
      <c r="C211" t="s">
        <v>103</v>
      </c>
      <c r="D211" t="s">
        <v>103</v>
      </c>
      <c r="E211" t="s">
        <v>103</v>
      </c>
      <c r="F211" t="s">
        <v>103</v>
      </c>
      <c r="G211" t="s">
        <v>103</v>
      </c>
      <c r="H211" t="s">
        <v>103</v>
      </c>
      <c r="I211" t="s">
        <v>103</v>
      </c>
      <c r="J211" t="s">
        <v>103</v>
      </c>
    </row>
    <row r="212" spans="2:10">
      <c r="B212" t="s">
        <v>125</v>
      </c>
      <c r="C212">
        <v>0</v>
      </c>
      <c r="D212">
        <v>0</v>
      </c>
      <c r="E212">
        <v>4</v>
      </c>
      <c r="F212">
        <v>0</v>
      </c>
      <c r="G212">
        <v>0</v>
      </c>
      <c r="H212">
        <v>0</v>
      </c>
      <c r="I212">
        <v>-1</v>
      </c>
      <c r="J212">
        <v>0</v>
      </c>
    </row>
    <row r="213" spans="2:10">
      <c r="B213" t="s">
        <v>126</v>
      </c>
      <c r="C213">
        <v>0</v>
      </c>
      <c r="D213">
        <v>0</v>
      </c>
      <c r="E213">
        <v>-1</v>
      </c>
      <c r="F213">
        <v>0</v>
      </c>
      <c r="G213">
        <v>0</v>
      </c>
      <c r="H213">
        <v>6</v>
      </c>
      <c r="I213">
        <v>0</v>
      </c>
      <c r="J213">
        <v>0</v>
      </c>
    </row>
    <row r="214" spans="2:10">
      <c r="B214" t="s">
        <v>127</v>
      </c>
      <c r="C214">
        <v>-8</v>
      </c>
      <c r="D214">
        <v>4</v>
      </c>
      <c r="E214">
        <v>1</v>
      </c>
      <c r="F214">
        <v>8</v>
      </c>
      <c r="G214">
        <v>4</v>
      </c>
      <c r="H214">
        <v>12</v>
      </c>
      <c r="I214">
        <v>-52</v>
      </c>
      <c r="J214">
        <v>8</v>
      </c>
    </row>
    <row r="215" spans="2:10">
      <c r="B215" t="s">
        <v>128</v>
      </c>
      <c r="C215">
        <v>221</v>
      </c>
      <c r="D215">
        <v>356</v>
      </c>
      <c r="E215">
        <v>233</v>
      </c>
      <c r="F215" s="83">
        <v>-1178</v>
      </c>
      <c r="G215">
        <v>78</v>
      </c>
      <c r="H215">
        <v>-159</v>
      </c>
      <c r="I215">
        <v>-2</v>
      </c>
      <c r="J215">
        <v>-16</v>
      </c>
    </row>
    <row r="216" spans="2:10">
      <c r="B216" t="s">
        <v>129</v>
      </c>
      <c r="C216" s="83">
        <v>-1171</v>
      </c>
      <c r="D216">
        <v>679</v>
      </c>
      <c r="E216">
        <v>170</v>
      </c>
      <c r="F216">
        <v>213</v>
      </c>
      <c r="G216" s="83">
        <v>-1094</v>
      </c>
      <c r="H216">
        <v>838</v>
      </c>
      <c r="I216">
        <v>-497</v>
      </c>
      <c r="J216">
        <v>308</v>
      </c>
    </row>
    <row r="217" spans="2:10">
      <c r="B217" t="s">
        <v>130</v>
      </c>
      <c r="C217">
        <v>762</v>
      </c>
      <c r="D217">
        <v>-289</v>
      </c>
      <c r="E217">
        <v>-220</v>
      </c>
      <c r="F217">
        <v>-294</v>
      </c>
      <c r="G217" s="83">
        <v>1018</v>
      </c>
      <c r="H217">
        <v>-495</v>
      </c>
      <c r="I217">
        <v>274</v>
      </c>
      <c r="J217">
        <v>-566</v>
      </c>
    </row>
    <row r="218" spans="2:10">
      <c r="B218" t="s">
        <v>131</v>
      </c>
      <c r="C218">
        <v>-59</v>
      </c>
      <c r="D218" s="83">
        <v>-1161</v>
      </c>
      <c r="E218">
        <v>593</v>
      </c>
      <c r="F218">
        <v>355</v>
      </c>
      <c r="G218">
        <v>-144</v>
      </c>
      <c r="H218">
        <v>-762</v>
      </c>
      <c r="I218" s="83">
        <v>1040</v>
      </c>
      <c r="J218">
        <v>-591</v>
      </c>
    </row>
    <row r="219" spans="2:10">
      <c r="B219" t="s">
        <v>19</v>
      </c>
      <c r="C219">
        <v>262</v>
      </c>
      <c r="D219">
        <v>307</v>
      </c>
      <c r="E219" s="83">
        <v>1280</v>
      </c>
      <c r="F219">
        <v>-264</v>
      </c>
      <c r="G219">
        <v>277</v>
      </c>
      <c r="H219">
        <v>98</v>
      </c>
      <c r="I219" s="83">
        <v>1109</v>
      </c>
      <c r="J219">
        <v>-430</v>
      </c>
    </row>
    <row r="220" spans="2:10">
      <c r="B220" t="s">
        <v>132</v>
      </c>
      <c r="C220">
        <v>0</v>
      </c>
      <c r="D220">
        <v>0</v>
      </c>
      <c r="E220">
        <v>0</v>
      </c>
      <c r="F220">
        <v>0</v>
      </c>
      <c r="G220">
        <v>0</v>
      </c>
      <c r="H220">
        <v>0</v>
      </c>
      <c r="I220">
        <v>0</v>
      </c>
      <c r="J220">
        <v>0</v>
      </c>
    </row>
    <row r="221" spans="2:10">
      <c r="B221" t="s">
        <v>133</v>
      </c>
      <c r="C221">
        <v>0</v>
      </c>
      <c r="D221">
        <v>0</v>
      </c>
      <c r="E221">
        <v>0</v>
      </c>
      <c r="F221">
        <v>0</v>
      </c>
      <c r="G221">
        <v>0</v>
      </c>
      <c r="H221">
        <v>0</v>
      </c>
      <c r="I221">
        <v>0</v>
      </c>
      <c r="J221">
        <v>0</v>
      </c>
    </row>
    <row r="222" spans="2:10">
      <c r="B222" t="s">
        <v>21</v>
      </c>
      <c r="C222">
        <v>0</v>
      </c>
      <c r="D222">
        <v>0</v>
      </c>
      <c r="E222">
        <v>0</v>
      </c>
      <c r="F222">
        <v>0</v>
      </c>
      <c r="G222">
        <v>-91</v>
      </c>
      <c r="H222">
        <v>0</v>
      </c>
      <c r="I222">
        <v>-133</v>
      </c>
      <c r="J222">
        <v>0</v>
      </c>
    </row>
    <row r="223" spans="2:10">
      <c r="B223" t="s">
        <v>134</v>
      </c>
      <c r="C223">
        <v>-1</v>
      </c>
      <c r="D223">
        <v>2</v>
      </c>
      <c r="E223">
        <v>36</v>
      </c>
      <c r="F223">
        <v>0</v>
      </c>
      <c r="G223">
        <v>30</v>
      </c>
      <c r="H223">
        <v>-28</v>
      </c>
      <c r="I223">
        <v>0</v>
      </c>
      <c r="J223">
        <v>2</v>
      </c>
    </row>
    <row r="224" spans="2:10">
      <c r="B224" t="s">
        <v>20</v>
      </c>
      <c r="C224">
        <v>-224</v>
      </c>
      <c r="D224">
        <v>-78</v>
      </c>
      <c r="E224">
        <v>-64</v>
      </c>
      <c r="F224">
        <v>-117</v>
      </c>
      <c r="G224">
        <v>-157</v>
      </c>
      <c r="H224">
        <v>-65</v>
      </c>
      <c r="I224" s="83">
        <v>-2885</v>
      </c>
      <c r="J224">
        <v>-183</v>
      </c>
    </row>
    <row r="225" spans="2:10">
      <c r="B225" t="s">
        <v>135</v>
      </c>
      <c r="C225">
        <v>-3</v>
      </c>
      <c r="D225">
        <v>-6</v>
      </c>
      <c r="E225">
        <v>-69</v>
      </c>
      <c r="F225">
        <v>-8</v>
      </c>
      <c r="G225">
        <v>-15</v>
      </c>
      <c r="H225">
        <v>-1</v>
      </c>
      <c r="I225">
        <v>-95</v>
      </c>
      <c r="J225">
        <v>13</v>
      </c>
    </row>
    <row r="226" spans="2:10">
      <c r="B226" t="s">
        <v>136</v>
      </c>
      <c r="C226">
        <v>-211</v>
      </c>
      <c r="D226">
        <v>-82</v>
      </c>
      <c r="E226">
        <v>-97</v>
      </c>
      <c r="F226">
        <v>-125</v>
      </c>
      <c r="G226">
        <v>-233</v>
      </c>
      <c r="H226">
        <v>-94</v>
      </c>
      <c r="I226" s="83">
        <v>-3113</v>
      </c>
      <c r="J226">
        <v>-167</v>
      </c>
    </row>
    <row r="227" spans="2:10">
      <c r="B227" t="s">
        <v>137</v>
      </c>
      <c r="C227">
        <v>0</v>
      </c>
      <c r="D227">
        <v>0</v>
      </c>
      <c r="E227">
        <v>0</v>
      </c>
      <c r="F227" s="83">
        <v>2115</v>
      </c>
      <c r="G227">
        <v>0</v>
      </c>
      <c r="H227">
        <v>0</v>
      </c>
      <c r="I227">
        <v>0</v>
      </c>
      <c r="J227">
        <v>0</v>
      </c>
    </row>
    <row r="228" spans="2:10">
      <c r="B228" t="s">
        <v>138</v>
      </c>
      <c r="C228">
        <v>0</v>
      </c>
      <c r="D228">
        <v>0</v>
      </c>
      <c r="E228" s="83">
        <v>1311</v>
      </c>
      <c r="F228" s="83">
        <v>-1311</v>
      </c>
      <c r="G228">
        <v>0</v>
      </c>
      <c r="H228">
        <v>0</v>
      </c>
      <c r="I228">
        <v>0</v>
      </c>
      <c r="J228" s="83">
        <v>-1029</v>
      </c>
    </row>
    <row r="229" spans="2:10">
      <c r="B229" t="s">
        <v>139</v>
      </c>
      <c r="C229">
        <v>0</v>
      </c>
      <c r="D229">
        <v>0</v>
      </c>
      <c r="E229">
        <v>0</v>
      </c>
      <c r="F229">
        <v>0</v>
      </c>
      <c r="G229">
        <v>0</v>
      </c>
      <c r="H229">
        <v>0</v>
      </c>
      <c r="I229">
        <v>0</v>
      </c>
      <c r="J229">
        <v>0</v>
      </c>
    </row>
    <row r="230" spans="2:10">
      <c r="B230" t="s">
        <v>140</v>
      </c>
      <c r="C230">
        <v>303</v>
      </c>
      <c r="D230">
        <v>389</v>
      </c>
      <c r="E230">
        <v>-610</v>
      </c>
      <c r="F230" s="83">
        <v>-1316</v>
      </c>
      <c r="G230">
        <v>388</v>
      </c>
      <c r="H230" s="83">
        <v>1638</v>
      </c>
      <c r="I230">
        <v>-222</v>
      </c>
      <c r="J230">
        <v>222</v>
      </c>
    </row>
    <row r="231" spans="2:10">
      <c r="B231" t="s">
        <v>141</v>
      </c>
      <c r="C231">
        <v>0</v>
      </c>
      <c r="D231">
        <v>0</v>
      </c>
      <c r="E231">
        <v>0</v>
      </c>
      <c r="F231">
        <v>0</v>
      </c>
      <c r="G231">
        <v>0</v>
      </c>
      <c r="H231" s="83">
        <v>-1200</v>
      </c>
      <c r="I231" s="83">
        <v>1200</v>
      </c>
      <c r="J231">
        <v>0</v>
      </c>
    </row>
    <row r="232" spans="2:10">
      <c r="B232" t="s">
        <v>142</v>
      </c>
      <c r="C232">
        <v>0</v>
      </c>
      <c r="D232">
        <v>0</v>
      </c>
      <c r="E232">
        <v>0</v>
      </c>
      <c r="F232">
        <v>0</v>
      </c>
      <c r="G232">
        <v>0</v>
      </c>
      <c r="H232">
        <v>0</v>
      </c>
      <c r="I232">
        <v>0</v>
      </c>
      <c r="J232">
        <v>0</v>
      </c>
    </row>
    <row r="233" spans="2:10">
      <c r="B233" t="s">
        <v>143</v>
      </c>
      <c r="C233">
        <v>0</v>
      </c>
      <c r="D233">
        <v>0</v>
      </c>
      <c r="E233">
        <v>0</v>
      </c>
      <c r="F233">
        <v>0</v>
      </c>
      <c r="G233">
        <v>0</v>
      </c>
      <c r="H233">
        <v>0</v>
      </c>
      <c r="I233">
        <v>0</v>
      </c>
      <c r="J233">
        <v>0</v>
      </c>
    </row>
    <row r="234" spans="2:10">
      <c r="B234" t="s">
        <v>144</v>
      </c>
      <c r="C234">
        <v>0</v>
      </c>
      <c r="D234">
        <v>0</v>
      </c>
      <c r="E234">
        <v>0</v>
      </c>
      <c r="F234">
        <v>0</v>
      </c>
      <c r="G234">
        <v>0</v>
      </c>
      <c r="H234">
        <v>0</v>
      </c>
      <c r="I234">
        <v>0</v>
      </c>
      <c r="J234">
        <v>0</v>
      </c>
    </row>
    <row r="235" spans="2:10">
      <c r="B235" t="s">
        <v>145</v>
      </c>
      <c r="C235">
        <v>19</v>
      </c>
      <c r="D235">
        <v>0</v>
      </c>
      <c r="E235">
        <v>0</v>
      </c>
      <c r="F235">
        <v>-18</v>
      </c>
      <c r="G235">
        <v>2</v>
      </c>
      <c r="H235">
        <v>0</v>
      </c>
      <c r="I235">
        <v>0</v>
      </c>
      <c r="J235">
        <v>0</v>
      </c>
    </row>
    <row r="236" spans="2:10">
      <c r="B236" t="s">
        <v>146</v>
      </c>
      <c r="C236">
        <v>322</v>
      </c>
      <c r="D236">
        <v>389</v>
      </c>
      <c r="E236">
        <v>-610</v>
      </c>
      <c r="F236">
        <v>-530</v>
      </c>
      <c r="G236">
        <v>390</v>
      </c>
      <c r="H236">
        <v>438</v>
      </c>
      <c r="I236">
        <v>978</v>
      </c>
      <c r="J236">
        <v>-808</v>
      </c>
    </row>
    <row r="237" spans="2:10">
      <c r="B237" t="s">
        <v>147</v>
      </c>
      <c r="C237">
        <v>-15</v>
      </c>
      <c r="D237">
        <v>-13</v>
      </c>
      <c r="E237">
        <v>69</v>
      </c>
      <c r="F237">
        <v>33</v>
      </c>
      <c r="G237">
        <v>-29</v>
      </c>
      <c r="H237">
        <v>25</v>
      </c>
      <c r="I237">
        <v>12</v>
      </c>
      <c r="J237">
        <v>-24</v>
      </c>
    </row>
    <row r="238" spans="2:10">
      <c r="B238" t="s">
        <v>148</v>
      </c>
      <c r="C238">
        <v>357</v>
      </c>
      <c r="D238">
        <v>600</v>
      </c>
      <c r="E238">
        <v>643</v>
      </c>
      <c r="F238">
        <v>-886</v>
      </c>
      <c r="G238">
        <v>406</v>
      </c>
      <c r="H238">
        <v>468</v>
      </c>
      <c r="I238" s="83">
        <v>-1014</v>
      </c>
      <c r="J238" s="83">
        <v>-1428</v>
      </c>
    </row>
    <row r="239" spans="2:10">
      <c r="B239" t="s">
        <v>149</v>
      </c>
      <c r="C239" s="83">
        <v>2248</v>
      </c>
      <c r="D239" s="83">
        <v>1648</v>
      </c>
      <c r="E239" s="83">
        <v>1006</v>
      </c>
      <c r="F239" s="83">
        <v>1891</v>
      </c>
      <c r="G239" s="83">
        <v>1486</v>
      </c>
      <c r="H239" s="83">
        <v>1018</v>
      </c>
      <c r="I239" s="83">
        <v>2032</v>
      </c>
      <c r="J239" s="83">
        <v>3461</v>
      </c>
    </row>
    <row r="240" spans="2:10">
      <c r="B240" t="s">
        <v>150</v>
      </c>
      <c r="C240" s="83">
        <v>2606</v>
      </c>
      <c r="D240" s="83">
        <v>2248</v>
      </c>
      <c r="E240" s="83">
        <v>1648</v>
      </c>
      <c r="F240" s="83">
        <v>1006</v>
      </c>
      <c r="G240" s="83">
        <v>1891</v>
      </c>
      <c r="H240" s="83">
        <v>1486</v>
      </c>
      <c r="I240" s="83">
        <v>1018</v>
      </c>
      <c r="J240" s="83">
        <v>2032</v>
      </c>
    </row>
    <row r="241" spans="2:10">
      <c r="B241" t="s">
        <v>151</v>
      </c>
      <c r="C241">
        <v>3</v>
      </c>
      <c r="D241">
        <v>6</v>
      </c>
      <c r="E241">
        <v>5</v>
      </c>
      <c r="F241">
        <v>7</v>
      </c>
      <c r="G241">
        <v>9</v>
      </c>
      <c r="H241">
        <v>10</v>
      </c>
      <c r="I241">
        <v>8</v>
      </c>
      <c r="J241">
        <v>6</v>
      </c>
    </row>
    <row r="242" spans="2:10">
      <c r="B242" t="s">
        <v>152</v>
      </c>
      <c r="C242" t="s">
        <v>103</v>
      </c>
      <c r="D242" t="s">
        <v>103</v>
      </c>
      <c r="E242" t="s">
        <v>103</v>
      </c>
      <c r="F242" t="s">
        <v>103</v>
      </c>
      <c r="G242" t="s">
        <v>103</v>
      </c>
      <c r="H242" t="s">
        <v>103</v>
      </c>
      <c r="I242" t="s">
        <v>103</v>
      </c>
      <c r="J242" t="s">
        <v>103</v>
      </c>
    </row>
    <row r="243" spans="2:10">
      <c r="B243" t="s">
        <v>153</v>
      </c>
    </row>
    <row r="244" spans="2:10">
      <c r="B244" t="s">
        <v>154</v>
      </c>
    </row>
    <row r="245" spans="2:10">
      <c r="B245" t="s">
        <v>115</v>
      </c>
    </row>
    <row r="246" spans="2:10">
      <c r="B246" t="s">
        <v>116</v>
      </c>
    </row>
  </sheetData>
  <sheetProtection sheet="1" objects="1" scenarios="1"/>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J246"/>
  <sheetViews>
    <sheetView workbookViewId="0">
      <selection sqref="A1:XFD1000"/>
    </sheetView>
  </sheetViews>
  <sheetFormatPr defaultRowHeight="16.5"/>
  <cols>
    <col min="2" max="2" width="81" customWidth="1"/>
    <col min="3" max="10" width="7.375" customWidth="1"/>
  </cols>
  <sheetData>
    <row r="2" spans="2:10">
      <c r="B2" t="s">
        <v>2485</v>
      </c>
    </row>
    <row r="3" spans="2:10">
      <c r="B3" t="s">
        <v>49</v>
      </c>
    </row>
    <row r="4" spans="2:10">
      <c r="B4" t="s">
        <v>52</v>
      </c>
      <c r="C4" t="s">
        <v>263</v>
      </c>
      <c r="D4" t="s">
        <v>53</v>
      </c>
      <c r="E4" t="s">
        <v>54</v>
      </c>
      <c r="F4" t="s">
        <v>55</v>
      </c>
      <c r="G4" t="s">
        <v>56</v>
      </c>
      <c r="H4" t="s">
        <v>57</v>
      </c>
      <c r="I4" t="s">
        <v>58</v>
      </c>
      <c r="J4" t="s">
        <v>59</v>
      </c>
    </row>
    <row r="5" spans="2:10">
      <c r="B5" t="s">
        <v>10</v>
      </c>
      <c r="C5">
        <v>518</v>
      </c>
      <c r="D5">
        <v>494</v>
      </c>
      <c r="E5">
        <v>405</v>
      </c>
      <c r="F5">
        <v>371</v>
      </c>
      <c r="G5">
        <v>282</v>
      </c>
      <c r="H5">
        <v>322</v>
      </c>
      <c r="I5">
        <v>347</v>
      </c>
      <c r="J5">
        <v>300</v>
      </c>
    </row>
    <row r="6" spans="2:10">
      <c r="B6" t="s">
        <v>11</v>
      </c>
      <c r="C6">
        <v>260</v>
      </c>
      <c r="D6">
        <v>251</v>
      </c>
      <c r="E6">
        <v>230</v>
      </c>
      <c r="F6">
        <v>234</v>
      </c>
      <c r="G6">
        <v>185</v>
      </c>
      <c r="H6">
        <v>210</v>
      </c>
      <c r="I6">
        <v>232</v>
      </c>
      <c r="J6">
        <v>196</v>
      </c>
    </row>
    <row r="7" spans="2:10">
      <c r="B7" t="s">
        <v>60</v>
      </c>
      <c r="C7">
        <v>258</v>
      </c>
      <c r="D7">
        <v>243</v>
      </c>
      <c r="E7">
        <v>174</v>
      </c>
      <c r="F7">
        <v>138</v>
      </c>
      <c r="G7">
        <v>97</v>
      </c>
      <c r="H7">
        <v>112</v>
      </c>
      <c r="I7">
        <v>115</v>
      </c>
      <c r="J7">
        <v>104</v>
      </c>
    </row>
    <row r="8" spans="2:10">
      <c r="B8" t="s">
        <v>61</v>
      </c>
      <c r="C8">
        <v>0</v>
      </c>
      <c r="D8">
        <v>0</v>
      </c>
      <c r="E8">
        <v>0</v>
      </c>
      <c r="F8">
        <v>0</v>
      </c>
      <c r="G8">
        <v>0</v>
      </c>
      <c r="H8">
        <v>0</v>
      </c>
      <c r="I8">
        <v>0</v>
      </c>
      <c r="J8">
        <v>0</v>
      </c>
    </row>
    <row r="9" spans="2:10">
      <c r="B9" t="s">
        <v>62</v>
      </c>
      <c r="C9">
        <v>258</v>
      </c>
      <c r="D9">
        <v>243</v>
      </c>
      <c r="E9">
        <v>174</v>
      </c>
      <c r="F9">
        <v>138</v>
      </c>
      <c r="G9">
        <v>97</v>
      </c>
      <c r="H9">
        <v>112</v>
      </c>
      <c r="I9">
        <v>115</v>
      </c>
      <c r="J9">
        <v>104</v>
      </c>
    </row>
    <row r="10" spans="2:10">
      <c r="B10" t="s">
        <v>63</v>
      </c>
      <c r="C10">
        <v>78</v>
      </c>
      <c r="D10">
        <v>72</v>
      </c>
      <c r="E10">
        <v>56</v>
      </c>
      <c r="F10">
        <v>50</v>
      </c>
      <c r="G10">
        <v>55</v>
      </c>
      <c r="H10">
        <v>55</v>
      </c>
      <c r="I10">
        <v>44</v>
      </c>
      <c r="J10">
        <v>56</v>
      </c>
    </row>
    <row r="11" spans="2:10">
      <c r="B11" t="s">
        <v>64</v>
      </c>
      <c r="C11">
        <v>40</v>
      </c>
      <c r="D11">
        <v>31</v>
      </c>
      <c r="E11">
        <v>20</v>
      </c>
      <c r="F11">
        <v>13</v>
      </c>
      <c r="G11">
        <v>26</v>
      </c>
      <c r="H11">
        <v>29</v>
      </c>
      <c r="I11">
        <v>20</v>
      </c>
      <c r="J11">
        <v>28</v>
      </c>
    </row>
    <row r="12" spans="2:10">
      <c r="B12" t="s">
        <v>65</v>
      </c>
      <c r="C12">
        <v>27</v>
      </c>
      <c r="D12">
        <v>28</v>
      </c>
      <c r="E12">
        <v>23</v>
      </c>
      <c r="F12">
        <v>27</v>
      </c>
      <c r="G12">
        <v>18</v>
      </c>
      <c r="H12">
        <v>18</v>
      </c>
      <c r="I12">
        <v>16</v>
      </c>
      <c r="J12">
        <v>19</v>
      </c>
    </row>
    <row r="13" spans="2:10">
      <c r="B13" t="s">
        <v>66</v>
      </c>
      <c r="C13">
        <v>10</v>
      </c>
      <c r="D13">
        <v>13</v>
      </c>
      <c r="E13">
        <v>13</v>
      </c>
      <c r="F13">
        <v>10</v>
      </c>
      <c r="G13">
        <v>11</v>
      </c>
      <c r="H13">
        <v>8</v>
      </c>
      <c r="I13">
        <v>8</v>
      </c>
      <c r="J13">
        <v>9</v>
      </c>
    </row>
    <row r="14" spans="2:10">
      <c r="B14" t="s">
        <v>67</v>
      </c>
      <c r="C14">
        <v>180</v>
      </c>
      <c r="D14">
        <v>171</v>
      </c>
      <c r="E14">
        <v>119</v>
      </c>
      <c r="F14">
        <v>87</v>
      </c>
      <c r="G14">
        <v>42</v>
      </c>
      <c r="H14">
        <v>57</v>
      </c>
      <c r="I14">
        <v>71</v>
      </c>
      <c r="J14">
        <v>48</v>
      </c>
    </row>
    <row r="15" spans="2:10">
      <c r="B15" t="s">
        <v>68</v>
      </c>
      <c r="C15">
        <v>0</v>
      </c>
      <c r="D15">
        <v>0</v>
      </c>
      <c r="E15">
        <v>0</v>
      </c>
      <c r="F15">
        <v>0</v>
      </c>
      <c r="G15">
        <v>0</v>
      </c>
      <c r="H15">
        <v>0</v>
      </c>
      <c r="I15">
        <v>0</v>
      </c>
      <c r="J15">
        <v>0</v>
      </c>
    </row>
    <row r="16" spans="2:10">
      <c r="B16" t="s">
        <v>69</v>
      </c>
      <c r="C16">
        <v>0</v>
      </c>
      <c r="D16">
        <v>0</v>
      </c>
      <c r="E16">
        <v>0</v>
      </c>
      <c r="F16">
        <v>0</v>
      </c>
      <c r="G16">
        <v>0</v>
      </c>
      <c r="H16">
        <v>0</v>
      </c>
      <c r="I16">
        <v>0</v>
      </c>
      <c r="J16">
        <v>0</v>
      </c>
    </row>
    <row r="17" spans="2:10">
      <c r="B17" t="s">
        <v>70</v>
      </c>
      <c r="C17">
        <v>0</v>
      </c>
      <c r="D17">
        <v>0</v>
      </c>
      <c r="E17">
        <v>0</v>
      </c>
      <c r="F17">
        <v>0</v>
      </c>
      <c r="G17">
        <v>0</v>
      </c>
      <c r="H17">
        <v>0</v>
      </c>
      <c r="I17">
        <v>0</v>
      </c>
      <c r="J17">
        <v>0</v>
      </c>
    </row>
    <row r="18" spans="2:10">
      <c r="B18" t="s">
        <v>71</v>
      </c>
      <c r="C18">
        <v>0</v>
      </c>
      <c r="D18">
        <v>0</v>
      </c>
      <c r="E18">
        <v>0</v>
      </c>
      <c r="F18">
        <v>0</v>
      </c>
      <c r="G18">
        <v>0</v>
      </c>
      <c r="H18">
        <v>0</v>
      </c>
      <c r="I18">
        <v>0</v>
      </c>
      <c r="J18">
        <v>0</v>
      </c>
    </row>
    <row r="19" spans="2:10">
      <c r="B19" t="s">
        <v>72</v>
      </c>
      <c r="C19">
        <v>0</v>
      </c>
      <c r="D19">
        <v>0</v>
      </c>
      <c r="E19">
        <v>0</v>
      </c>
      <c r="F19">
        <v>0</v>
      </c>
      <c r="G19">
        <v>0</v>
      </c>
      <c r="H19">
        <v>0</v>
      </c>
      <c r="I19">
        <v>0</v>
      </c>
      <c r="J19">
        <v>0</v>
      </c>
    </row>
    <row r="20" spans="2:10">
      <c r="B20" t="s">
        <v>73</v>
      </c>
      <c r="C20">
        <v>0</v>
      </c>
      <c r="D20">
        <v>0</v>
      </c>
      <c r="E20">
        <v>0</v>
      </c>
      <c r="F20">
        <v>0</v>
      </c>
      <c r="G20">
        <v>0</v>
      </c>
      <c r="H20">
        <v>0</v>
      </c>
      <c r="I20">
        <v>0</v>
      </c>
      <c r="J20">
        <v>0</v>
      </c>
    </row>
    <row r="21" spans="2:10">
      <c r="B21" t="s">
        <v>74</v>
      </c>
      <c r="C21">
        <v>0</v>
      </c>
      <c r="D21">
        <v>0</v>
      </c>
      <c r="E21">
        <v>0</v>
      </c>
      <c r="F21">
        <v>0</v>
      </c>
      <c r="G21">
        <v>0</v>
      </c>
      <c r="H21">
        <v>0</v>
      </c>
      <c r="I21">
        <v>0</v>
      </c>
      <c r="J21">
        <v>0</v>
      </c>
    </row>
    <row r="22" spans="2:10">
      <c r="B22" t="s">
        <v>75</v>
      </c>
      <c r="C22">
        <v>0</v>
      </c>
      <c r="D22">
        <v>0</v>
      </c>
      <c r="E22">
        <v>0</v>
      </c>
      <c r="F22">
        <v>0</v>
      </c>
      <c r="G22">
        <v>0</v>
      </c>
      <c r="H22">
        <v>0</v>
      </c>
      <c r="I22">
        <v>0</v>
      </c>
      <c r="J22">
        <v>0</v>
      </c>
    </row>
    <row r="23" spans="2:10">
      <c r="B23" t="s">
        <v>76</v>
      </c>
      <c r="C23">
        <v>0</v>
      </c>
      <c r="D23">
        <v>0</v>
      </c>
      <c r="E23">
        <v>0</v>
      </c>
      <c r="F23">
        <v>0</v>
      </c>
      <c r="G23">
        <v>0</v>
      </c>
      <c r="H23">
        <v>0</v>
      </c>
      <c r="I23">
        <v>0</v>
      </c>
      <c r="J23">
        <v>0</v>
      </c>
    </row>
    <row r="24" spans="2:10">
      <c r="B24" t="s">
        <v>77</v>
      </c>
      <c r="C24">
        <v>0</v>
      </c>
      <c r="D24">
        <v>0</v>
      </c>
      <c r="E24">
        <v>0</v>
      </c>
      <c r="F24">
        <v>0</v>
      </c>
      <c r="G24">
        <v>0</v>
      </c>
      <c r="H24">
        <v>0</v>
      </c>
      <c r="I24">
        <v>0</v>
      </c>
      <c r="J24">
        <v>0</v>
      </c>
    </row>
    <row r="25" spans="2:10">
      <c r="B25" t="s">
        <v>78</v>
      </c>
      <c r="C25">
        <v>0</v>
      </c>
      <c r="D25">
        <v>0</v>
      </c>
      <c r="E25">
        <v>16</v>
      </c>
      <c r="F25">
        <v>5</v>
      </c>
      <c r="G25">
        <v>-3</v>
      </c>
      <c r="H25">
        <v>4</v>
      </c>
      <c r="I25">
        <v>4</v>
      </c>
      <c r="J25">
        <v>-1</v>
      </c>
    </row>
    <row r="26" spans="2:10">
      <c r="B26" t="s">
        <v>79</v>
      </c>
      <c r="C26">
        <v>1</v>
      </c>
      <c r="D26">
        <v>1</v>
      </c>
      <c r="E26">
        <v>1</v>
      </c>
      <c r="F26">
        <v>1</v>
      </c>
      <c r="G26">
        <v>2</v>
      </c>
      <c r="H26">
        <v>2</v>
      </c>
      <c r="I26">
        <v>2</v>
      </c>
      <c r="J26">
        <v>3</v>
      </c>
    </row>
    <row r="27" spans="2:10">
      <c r="B27" t="s">
        <v>80</v>
      </c>
      <c r="C27">
        <v>1</v>
      </c>
      <c r="D27">
        <v>1</v>
      </c>
      <c r="E27">
        <v>18</v>
      </c>
      <c r="F27">
        <v>6</v>
      </c>
      <c r="G27">
        <v>-2</v>
      </c>
      <c r="H27">
        <v>6</v>
      </c>
      <c r="I27">
        <v>6</v>
      </c>
      <c r="J27">
        <v>1</v>
      </c>
    </row>
    <row r="28" spans="2:10">
      <c r="B28" t="s">
        <v>81</v>
      </c>
      <c r="C28">
        <v>2</v>
      </c>
      <c r="D28">
        <v>2</v>
      </c>
      <c r="E28">
        <v>3</v>
      </c>
      <c r="F28">
        <v>2</v>
      </c>
      <c r="G28">
        <v>2</v>
      </c>
      <c r="H28">
        <v>2</v>
      </c>
      <c r="I28">
        <v>3</v>
      </c>
      <c r="J28">
        <v>2</v>
      </c>
    </row>
    <row r="29" spans="2:10">
      <c r="B29" t="s">
        <v>82</v>
      </c>
      <c r="C29">
        <v>0</v>
      </c>
      <c r="D29">
        <v>0</v>
      </c>
      <c r="E29">
        <v>0</v>
      </c>
      <c r="F29">
        <v>0</v>
      </c>
      <c r="G29">
        <v>0</v>
      </c>
      <c r="H29">
        <v>0</v>
      </c>
      <c r="I29">
        <v>0</v>
      </c>
      <c r="J29">
        <v>0</v>
      </c>
    </row>
    <row r="30" spans="2:10">
      <c r="B30" t="s">
        <v>83</v>
      </c>
      <c r="C30">
        <v>1</v>
      </c>
      <c r="D30">
        <v>1</v>
      </c>
      <c r="E30">
        <v>1</v>
      </c>
      <c r="F30">
        <v>1</v>
      </c>
      <c r="G30">
        <v>1</v>
      </c>
      <c r="H30">
        <v>0</v>
      </c>
      <c r="I30">
        <v>0</v>
      </c>
      <c r="J30">
        <v>1</v>
      </c>
    </row>
    <row r="31" spans="2:10">
      <c r="B31" t="s">
        <v>84</v>
      </c>
      <c r="C31">
        <v>0</v>
      </c>
      <c r="D31">
        <v>0</v>
      </c>
      <c r="E31">
        <v>0</v>
      </c>
      <c r="F31">
        <v>0</v>
      </c>
      <c r="G31">
        <v>0</v>
      </c>
      <c r="H31">
        <v>0</v>
      </c>
      <c r="I31">
        <v>0</v>
      </c>
      <c r="J31">
        <v>0</v>
      </c>
    </row>
    <row r="32" spans="2:10">
      <c r="B32" t="s">
        <v>85</v>
      </c>
      <c r="C32">
        <v>0</v>
      </c>
      <c r="D32">
        <v>0</v>
      </c>
      <c r="E32">
        <v>0</v>
      </c>
      <c r="F32">
        <v>0</v>
      </c>
      <c r="G32">
        <v>0</v>
      </c>
      <c r="H32">
        <v>0</v>
      </c>
      <c r="I32">
        <v>0</v>
      </c>
      <c r="J32">
        <v>0</v>
      </c>
    </row>
    <row r="33" spans="2:10">
      <c r="B33" t="s">
        <v>86</v>
      </c>
      <c r="C33">
        <v>0</v>
      </c>
      <c r="D33">
        <v>0</v>
      </c>
      <c r="E33">
        <v>0</v>
      </c>
      <c r="F33">
        <v>0</v>
      </c>
      <c r="G33">
        <v>0</v>
      </c>
      <c r="H33">
        <v>0</v>
      </c>
      <c r="I33">
        <v>0</v>
      </c>
      <c r="J33">
        <v>0</v>
      </c>
    </row>
    <row r="34" spans="2:10">
      <c r="B34" t="s">
        <v>87</v>
      </c>
      <c r="C34">
        <v>0</v>
      </c>
      <c r="D34">
        <v>0</v>
      </c>
      <c r="E34">
        <v>0</v>
      </c>
      <c r="F34">
        <v>0</v>
      </c>
      <c r="G34">
        <v>0</v>
      </c>
      <c r="H34">
        <v>0</v>
      </c>
      <c r="I34">
        <v>0</v>
      </c>
      <c r="J34">
        <v>0</v>
      </c>
    </row>
    <row r="35" spans="2:10">
      <c r="B35" t="s">
        <v>88</v>
      </c>
      <c r="C35">
        <v>0</v>
      </c>
      <c r="D35">
        <v>0</v>
      </c>
      <c r="E35">
        <v>0</v>
      </c>
      <c r="F35">
        <v>0</v>
      </c>
      <c r="G35">
        <v>0</v>
      </c>
      <c r="H35">
        <v>0</v>
      </c>
      <c r="I35">
        <v>0</v>
      </c>
      <c r="J35">
        <v>0</v>
      </c>
    </row>
    <row r="36" spans="2:10">
      <c r="B36" t="s">
        <v>89</v>
      </c>
      <c r="C36">
        <v>0</v>
      </c>
      <c r="D36">
        <v>0</v>
      </c>
      <c r="E36">
        <v>0</v>
      </c>
      <c r="F36">
        <v>0</v>
      </c>
      <c r="G36">
        <v>0</v>
      </c>
      <c r="H36">
        <v>0</v>
      </c>
      <c r="I36">
        <v>0</v>
      </c>
      <c r="J36">
        <v>0</v>
      </c>
    </row>
    <row r="37" spans="2:10">
      <c r="B37" t="s">
        <v>90</v>
      </c>
      <c r="C37">
        <v>0</v>
      </c>
      <c r="D37">
        <v>0</v>
      </c>
      <c r="E37">
        <v>0</v>
      </c>
      <c r="F37">
        <v>0</v>
      </c>
      <c r="G37">
        <v>0</v>
      </c>
      <c r="H37">
        <v>0</v>
      </c>
      <c r="I37">
        <v>0</v>
      </c>
      <c r="J37">
        <v>0</v>
      </c>
    </row>
    <row r="38" spans="2:10">
      <c r="B38" t="s">
        <v>91</v>
      </c>
      <c r="C38">
        <v>6</v>
      </c>
      <c r="D38">
        <v>8</v>
      </c>
      <c r="E38">
        <v>0</v>
      </c>
      <c r="F38">
        <v>0</v>
      </c>
      <c r="G38">
        <v>0</v>
      </c>
      <c r="H38">
        <v>0</v>
      </c>
      <c r="I38">
        <v>0</v>
      </c>
      <c r="J38">
        <v>0</v>
      </c>
    </row>
    <row r="39" spans="2:10">
      <c r="B39" t="s">
        <v>92</v>
      </c>
      <c r="C39">
        <v>0</v>
      </c>
      <c r="D39">
        <v>0</v>
      </c>
      <c r="E39">
        <v>0</v>
      </c>
      <c r="F39">
        <v>0</v>
      </c>
      <c r="G39">
        <v>0</v>
      </c>
      <c r="H39">
        <v>0</v>
      </c>
      <c r="I39">
        <v>0</v>
      </c>
      <c r="J39">
        <v>0</v>
      </c>
    </row>
    <row r="40" spans="2:10">
      <c r="B40" t="s">
        <v>93</v>
      </c>
      <c r="C40">
        <v>0</v>
      </c>
      <c r="D40">
        <v>0</v>
      </c>
      <c r="E40">
        <v>0</v>
      </c>
      <c r="F40">
        <v>0</v>
      </c>
      <c r="G40">
        <v>1</v>
      </c>
      <c r="H40">
        <v>0</v>
      </c>
      <c r="I40">
        <v>0</v>
      </c>
      <c r="J40">
        <v>0</v>
      </c>
    </row>
    <row r="41" spans="2:10">
      <c r="B41" t="s">
        <v>94</v>
      </c>
      <c r="C41">
        <v>9</v>
      </c>
      <c r="D41">
        <v>11</v>
      </c>
      <c r="E41">
        <v>4</v>
      </c>
      <c r="F41">
        <v>3</v>
      </c>
      <c r="G41">
        <v>3</v>
      </c>
      <c r="H41">
        <v>3</v>
      </c>
      <c r="I41">
        <v>2</v>
      </c>
      <c r="J41">
        <v>4</v>
      </c>
    </row>
    <row r="42" spans="2:10">
      <c r="B42" t="s">
        <v>95</v>
      </c>
      <c r="C42">
        <v>172</v>
      </c>
      <c r="D42">
        <v>161</v>
      </c>
      <c r="E42">
        <v>133</v>
      </c>
      <c r="F42">
        <v>91</v>
      </c>
      <c r="G42">
        <v>37</v>
      </c>
      <c r="H42">
        <v>60</v>
      </c>
      <c r="I42">
        <v>74</v>
      </c>
      <c r="J42">
        <v>46</v>
      </c>
    </row>
    <row r="43" spans="2:10">
      <c r="B43" t="s">
        <v>96</v>
      </c>
      <c r="C43">
        <v>30</v>
      </c>
      <c r="D43">
        <v>23</v>
      </c>
      <c r="E43">
        <v>18</v>
      </c>
      <c r="F43">
        <v>13</v>
      </c>
      <c r="G43">
        <v>12</v>
      </c>
      <c r="H43">
        <v>8</v>
      </c>
      <c r="I43">
        <v>10</v>
      </c>
      <c r="J43">
        <v>7</v>
      </c>
    </row>
    <row r="44" spans="2:10">
      <c r="B44" t="s">
        <v>97</v>
      </c>
      <c r="C44">
        <v>142</v>
      </c>
      <c r="D44">
        <v>138</v>
      </c>
      <c r="E44">
        <v>115</v>
      </c>
      <c r="F44">
        <v>78</v>
      </c>
      <c r="G44">
        <v>25</v>
      </c>
      <c r="H44">
        <v>52</v>
      </c>
      <c r="I44">
        <v>64</v>
      </c>
      <c r="J44">
        <v>39</v>
      </c>
    </row>
    <row r="45" spans="2:10">
      <c r="B45" t="s">
        <v>98</v>
      </c>
      <c r="C45">
        <v>0</v>
      </c>
      <c r="D45">
        <v>0</v>
      </c>
      <c r="E45">
        <v>0</v>
      </c>
      <c r="F45">
        <v>0</v>
      </c>
      <c r="G45">
        <v>0</v>
      </c>
      <c r="H45">
        <v>0</v>
      </c>
      <c r="I45">
        <v>0</v>
      </c>
      <c r="J45">
        <v>0</v>
      </c>
    </row>
    <row r="46" spans="2:10">
      <c r="B46" t="s">
        <v>99</v>
      </c>
      <c r="C46">
        <v>0</v>
      </c>
      <c r="D46">
        <v>0</v>
      </c>
      <c r="E46">
        <v>0</v>
      </c>
      <c r="F46">
        <v>0</v>
      </c>
      <c r="G46">
        <v>0</v>
      </c>
      <c r="H46">
        <v>0</v>
      </c>
      <c r="I46">
        <v>0</v>
      </c>
      <c r="J46">
        <v>0</v>
      </c>
    </row>
    <row r="47" spans="2:10">
      <c r="B47" t="s">
        <v>100</v>
      </c>
      <c r="C47">
        <v>0</v>
      </c>
      <c r="D47">
        <v>0</v>
      </c>
      <c r="E47">
        <v>0</v>
      </c>
      <c r="F47">
        <v>0</v>
      </c>
      <c r="G47">
        <v>0</v>
      </c>
      <c r="H47">
        <v>0</v>
      </c>
      <c r="I47">
        <v>0</v>
      </c>
      <c r="J47">
        <v>0</v>
      </c>
    </row>
    <row r="48" spans="2:10">
      <c r="B48" t="s">
        <v>101</v>
      </c>
      <c r="C48">
        <v>142</v>
      </c>
      <c r="D48">
        <v>138</v>
      </c>
      <c r="E48">
        <v>115</v>
      </c>
      <c r="F48">
        <v>78</v>
      </c>
      <c r="G48">
        <v>25</v>
      </c>
      <c r="H48">
        <v>52</v>
      </c>
      <c r="I48">
        <v>64</v>
      </c>
      <c r="J48">
        <v>39</v>
      </c>
    </row>
    <row r="49" spans="2:10">
      <c r="B49" t="s">
        <v>102</v>
      </c>
      <c r="C49" t="s">
        <v>103</v>
      </c>
      <c r="D49" t="s">
        <v>103</v>
      </c>
      <c r="E49" t="s">
        <v>103</v>
      </c>
      <c r="F49" t="s">
        <v>103</v>
      </c>
      <c r="G49" t="s">
        <v>103</v>
      </c>
      <c r="H49" t="s">
        <v>103</v>
      </c>
      <c r="I49" t="s">
        <v>103</v>
      </c>
      <c r="J49" t="s">
        <v>103</v>
      </c>
    </row>
    <row r="50" spans="2:10">
      <c r="B50" t="s">
        <v>104</v>
      </c>
      <c r="C50">
        <v>0</v>
      </c>
      <c r="D50">
        <v>0</v>
      </c>
      <c r="E50">
        <v>0</v>
      </c>
      <c r="F50">
        <v>0</v>
      </c>
      <c r="G50">
        <v>0</v>
      </c>
      <c r="H50">
        <v>0</v>
      </c>
      <c r="I50">
        <v>0</v>
      </c>
      <c r="J50">
        <v>0</v>
      </c>
    </row>
    <row r="51" spans="2:10">
      <c r="B51" t="s">
        <v>105</v>
      </c>
      <c r="C51">
        <v>0</v>
      </c>
      <c r="D51">
        <v>0</v>
      </c>
      <c r="E51">
        <v>0</v>
      </c>
      <c r="F51">
        <v>0</v>
      </c>
      <c r="G51">
        <v>0</v>
      </c>
      <c r="H51">
        <v>0</v>
      </c>
      <c r="I51">
        <v>0</v>
      </c>
      <c r="J51">
        <v>0</v>
      </c>
    </row>
    <row r="52" spans="2:10">
      <c r="B52" t="s">
        <v>13</v>
      </c>
      <c r="C52">
        <v>142</v>
      </c>
      <c r="D52">
        <v>138</v>
      </c>
      <c r="E52">
        <v>115</v>
      </c>
      <c r="F52">
        <v>78</v>
      </c>
      <c r="G52">
        <v>25</v>
      </c>
      <c r="H52">
        <v>52</v>
      </c>
      <c r="I52">
        <v>64</v>
      </c>
      <c r="J52">
        <v>39</v>
      </c>
    </row>
    <row r="53" spans="2:10">
      <c r="B53" t="s">
        <v>14</v>
      </c>
      <c r="C53">
        <v>1.85</v>
      </c>
      <c r="D53">
        <v>1.8</v>
      </c>
      <c r="E53">
        <v>1.5</v>
      </c>
      <c r="F53">
        <v>1.02</v>
      </c>
      <c r="G53">
        <v>0.36</v>
      </c>
      <c r="H53">
        <v>0.74</v>
      </c>
      <c r="I53">
        <v>0.93</v>
      </c>
      <c r="J53">
        <v>0.6</v>
      </c>
    </row>
    <row r="54" spans="2:10">
      <c r="B54" t="s">
        <v>106</v>
      </c>
      <c r="C54">
        <v>1.85</v>
      </c>
      <c r="D54">
        <v>1.79</v>
      </c>
      <c r="E54" t="s">
        <v>103</v>
      </c>
      <c r="F54">
        <v>1.01</v>
      </c>
      <c r="G54">
        <v>0.36</v>
      </c>
      <c r="H54">
        <v>0.74</v>
      </c>
      <c r="I54" t="s">
        <v>103</v>
      </c>
      <c r="J54">
        <v>0.6</v>
      </c>
    </row>
    <row r="55" spans="2:10">
      <c r="B55" t="s">
        <v>107</v>
      </c>
      <c r="C55">
        <v>766</v>
      </c>
      <c r="D55">
        <v>766</v>
      </c>
      <c r="E55">
        <v>766</v>
      </c>
      <c r="F55">
        <v>766</v>
      </c>
      <c r="G55">
        <v>694</v>
      </c>
      <c r="H55">
        <v>694</v>
      </c>
      <c r="I55">
        <v>694</v>
      </c>
      <c r="J55">
        <v>640</v>
      </c>
    </row>
    <row r="56" spans="2:10">
      <c r="B56" t="s">
        <v>108</v>
      </c>
      <c r="C56">
        <v>0</v>
      </c>
      <c r="D56">
        <v>0</v>
      </c>
      <c r="E56">
        <v>0</v>
      </c>
      <c r="F56">
        <v>0</v>
      </c>
      <c r="G56">
        <v>0</v>
      </c>
      <c r="H56">
        <v>0</v>
      </c>
      <c r="I56">
        <v>0</v>
      </c>
      <c r="J56">
        <v>0</v>
      </c>
    </row>
    <row r="57" spans="2:10">
      <c r="B57" t="s">
        <v>109</v>
      </c>
      <c r="C57" t="s">
        <v>103</v>
      </c>
      <c r="D57" t="s">
        <v>103</v>
      </c>
      <c r="E57">
        <v>0</v>
      </c>
      <c r="F57" t="s">
        <v>103</v>
      </c>
      <c r="G57" t="s">
        <v>103</v>
      </c>
      <c r="H57" t="s">
        <v>103</v>
      </c>
      <c r="I57">
        <v>0</v>
      </c>
      <c r="J57" t="s">
        <v>103</v>
      </c>
    </row>
    <row r="58" spans="2:10">
      <c r="B58" t="s">
        <v>110</v>
      </c>
      <c r="C58">
        <v>0</v>
      </c>
      <c r="D58">
        <v>0</v>
      </c>
      <c r="E58">
        <v>0</v>
      </c>
      <c r="F58">
        <v>0</v>
      </c>
      <c r="G58">
        <v>0</v>
      </c>
      <c r="H58">
        <v>0</v>
      </c>
      <c r="I58">
        <v>0</v>
      </c>
      <c r="J58">
        <v>0</v>
      </c>
    </row>
    <row r="59" spans="2:10">
      <c r="B59" t="s">
        <v>111</v>
      </c>
      <c r="C59">
        <v>0</v>
      </c>
      <c r="D59">
        <v>0</v>
      </c>
      <c r="E59">
        <v>0</v>
      </c>
      <c r="F59">
        <v>0</v>
      </c>
      <c r="G59">
        <v>0</v>
      </c>
      <c r="H59">
        <v>0</v>
      </c>
      <c r="I59">
        <v>0</v>
      </c>
      <c r="J59">
        <v>0</v>
      </c>
    </row>
    <row r="60" spans="2:10">
      <c r="B60" t="s">
        <v>112</v>
      </c>
      <c r="C60">
        <v>175</v>
      </c>
      <c r="D60">
        <v>163</v>
      </c>
      <c r="E60">
        <v>135</v>
      </c>
      <c r="F60">
        <v>93</v>
      </c>
      <c r="G60">
        <v>39</v>
      </c>
      <c r="H60">
        <v>62</v>
      </c>
      <c r="I60">
        <v>77</v>
      </c>
      <c r="J60">
        <v>48</v>
      </c>
    </row>
    <row r="61" spans="2:10">
      <c r="B61" t="s">
        <v>113</v>
      </c>
      <c r="C61">
        <v>205</v>
      </c>
      <c r="D61">
        <v>194</v>
      </c>
      <c r="E61">
        <v>165</v>
      </c>
      <c r="F61">
        <v>122</v>
      </c>
      <c r="G61">
        <v>68</v>
      </c>
      <c r="H61">
        <v>88</v>
      </c>
      <c r="I61">
        <v>101</v>
      </c>
      <c r="J61">
        <v>72</v>
      </c>
    </row>
    <row r="62" spans="2:10">
      <c r="B62" t="s">
        <v>114</v>
      </c>
      <c r="C62">
        <v>142</v>
      </c>
      <c r="D62">
        <v>138</v>
      </c>
      <c r="E62">
        <v>115</v>
      </c>
      <c r="F62">
        <v>78</v>
      </c>
      <c r="G62">
        <v>25</v>
      </c>
      <c r="H62">
        <v>52</v>
      </c>
      <c r="I62">
        <v>65</v>
      </c>
      <c r="J62">
        <v>39</v>
      </c>
    </row>
    <row r="63" spans="2:10">
      <c r="B63" t="s">
        <v>115</v>
      </c>
    </row>
    <row r="64" spans="2:10">
      <c r="B64" t="s">
        <v>116</v>
      </c>
    </row>
    <row r="101" spans="2:10">
      <c r="B101" t="s">
        <v>2486</v>
      </c>
    </row>
    <row r="102" spans="2:10">
      <c r="B102" t="s">
        <v>49</v>
      </c>
    </row>
    <row r="103" spans="2:10">
      <c r="B103" t="s">
        <v>52</v>
      </c>
      <c r="C103" t="s">
        <v>263</v>
      </c>
      <c r="D103" t="s">
        <v>53</v>
      </c>
      <c r="E103" t="s">
        <v>54</v>
      </c>
      <c r="F103" t="s">
        <v>55</v>
      </c>
      <c r="G103" t="s">
        <v>56</v>
      </c>
      <c r="H103" t="s">
        <v>57</v>
      </c>
      <c r="I103" t="s">
        <v>58</v>
      </c>
      <c r="J103" t="s">
        <v>59</v>
      </c>
    </row>
    <row r="104" spans="2:10">
      <c r="B104" t="s">
        <v>181</v>
      </c>
      <c r="C104">
        <v>339</v>
      </c>
      <c r="D104">
        <v>303</v>
      </c>
      <c r="E104">
        <v>329</v>
      </c>
      <c r="F104">
        <v>174</v>
      </c>
      <c r="G104">
        <v>77</v>
      </c>
      <c r="H104">
        <v>86</v>
      </c>
      <c r="I104">
        <v>68</v>
      </c>
      <c r="J104">
        <v>63</v>
      </c>
    </row>
    <row r="105" spans="2:10">
      <c r="B105" t="s">
        <v>182</v>
      </c>
      <c r="C105">
        <v>0</v>
      </c>
      <c r="D105">
        <v>0</v>
      </c>
      <c r="E105">
        <v>0</v>
      </c>
      <c r="F105">
        <v>0</v>
      </c>
      <c r="G105">
        <v>0</v>
      </c>
      <c r="H105">
        <v>0</v>
      </c>
      <c r="I105">
        <v>0</v>
      </c>
      <c r="J105">
        <v>0</v>
      </c>
    </row>
    <row r="106" spans="2:10">
      <c r="B106" t="s">
        <v>219</v>
      </c>
      <c r="C106">
        <v>345</v>
      </c>
      <c r="D106">
        <v>354</v>
      </c>
      <c r="E106">
        <v>282</v>
      </c>
      <c r="F106">
        <v>271</v>
      </c>
      <c r="G106">
        <v>194</v>
      </c>
      <c r="H106">
        <v>252</v>
      </c>
      <c r="I106">
        <v>232</v>
      </c>
      <c r="J106">
        <v>218</v>
      </c>
    </row>
    <row r="107" spans="2:10">
      <c r="B107" t="s">
        <v>183</v>
      </c>
      <c r="C107">
        <v>0</v>
      </c>
      <c r="D107">
        <v>0</v>
      </c>
      <c r="E107">
        <v>0</v>
      </c>
      <c r="F107">
        <v>0</v>
      </c>
      <c r="G107">
        <v>0</v>
      </c>
      <c r="H107">
        <v>0</v>
      </c>
      <c r="I107">
        <v>0</v>
      </c>
      <c r="J107">
        <v>0</v>
      </c>
    </row>
    <row r="108" spans="2:10">
      <c r="B108" t="s">
        <v>220</v>
      </c>
      <c r="C108">
        <v>0</v>
      </c>
      <c r="D108">
        <v>0</v>
      </c>
      <c r="E108">
        <v>0</v>
      </c>
      <c r="F108">
        <v>0</v>
      </c>
      <c r="G108">
        <v>0</v>
      </c>
      <c r="H108">
        <v>0</v>
      </c>
      <c r="I108">
        <v>0</v>
      </c>
      <c r="J108">
        <v>0</v>
      </c>
    </row>
    <row r="109" spans="2:10">
      <c r="B109" t="s">
        <v>15</v>
      </c>
      <c r="C109">
        <v>226</v>
      </c>
      <c r="D109">
        <v>201</v>
      </c>
      <c r="E109">
        <v>195</v>
      </c>
      <c r="F109">
        <v>184</v>
      </c>
      <c r="G109">
        <v>204</v>
      </c>
      <c r="H109">
        <v>197</v>
      </c>
      <c r="I109">
        <v>228</v>
      </c>
      <c r="J109">
        <v>253</v>
      </c>
    </row>
    <row r="110" spans="2:10">
      <c r="B110" t="s">
        <v>221</v>
      </c>
      <c r="C110" t="s">
        <v>103</v>
      </c>
      <c r="D110" t="s">
        <v>103</v>
      </c>
      <c r="E110" t="s">
        <v>103</v>
      </c>
      <c r="F110" t="s">
        <v>103</v>
      </c>
      <c r="G110" t="s">
        <v>103</v>
      </c>
      <c r="H110" t="s">
        <v>103</v>
      </c>
      <c r="I110" t="s">
        <v>103</v>
      </c>
      <c r="J110" t="s">
        <v>103</v>
      </c>
    </row>
    <row r="111" spans="2:10">
      <c r="B111" t="s">
        <v>184</v>
      </c>
      <c r="C111">
        <v>42</v>
      </c>
      <c r="D111">
        <v>15</v>
      </c>
      <c r="E111">
        <v>14</v>
      </c>
      <c r="F111">
        <v>0</v>
      </c>
      <c r="G111">
        <v>14</v>
      </c>
      <c r="H111">
        <v>9</v>
      </c>
      <c r="I111">
        <v>8</v>
      </c>
      <c r="J111">
        <v>16</v>
      </c>
    </row>
    <row r="112" spans="2:10">
      <c r="B112" t="s">
        <v>185</v>
      </c>
      <c r="C112">
        <v>14</v>
      </c>
      <c r="D112">
        <v>12</v>
      </c>
      <c r="E112">
        <v>5</v>
      </c>
      <c r="F112">
        <v>18</v>
      </c>
      <c r="G112">
        <v>5</v>
      </c>
      <c r="H112">
        <v>7</v>
      </c>
      <c r="I112">
        <v>5</v>
      </c>
      <c r="J112">
        <v>1</v>
      </c>
    </row>
    <row r="113" spans="2:10">
      <c r="B113" t="s">
        <v>186</v>
      </c>
      <c r="C113">
        <v>967</v>
      </c>
      <c r="D113">
        <v>885</v>
      </c>
      <c r="E113">
        <v>827</v>
      </c>
      <c r="F113">
        <v>647</v>
      </c>
      <c r="G113">
        <v>494</v>
      </c>
      <c r="H113">
        <v>551</v>
      </c>
      <c r="I113">
        <v>541</v>
      </c>
      <c r="J113">
        <v>553</v>
      </c>
    </row>
    <row r="114" spans="2:10">
      <c r="B114" t="s">
        <v>187</v>
      </c>
      <c r="C114">
        <v>8</v>
      </c>
      <c r="D114">
        <v>8</v>
      </c>
      <c r="E114">
        <v>9</v>
      </c>
      <c r="F114">
        <v>10</v>
      </c>
      <c r="G114">
        <v>11</v>
      </c>
      <c r="H114">
        <v>11</v>
      </c>
      <c r="I114">
        <v>12</v>
      </c>
      <c r="J114">
        <v>11</v>
      </c>
    </row>
    <row r="115" spans="2:10">
      <c r="B115" t="s">
        <v>188</v>
      </c>
      <c r="C115" t="s">
        <v>103</v>
      </c>
      <c r="D115" t="s">
        <v>103</v>
      </c>
      <c r="E115">
        <v>419</v>
      </c>
      <c r="F115">
        <v>419</v>
      </c>
      <c r="G115">
        <v>419</v>
      </c>
      <c r="H115">
        <v>419</v>
      </c>
      <c r="I115">
        <v>419</v>
      </c>
      <c r="J115">
        <v>419</v>
      </c>
    </row>
    <row r="116" spans="2:10">
      <c r="B116" t="s">
        <v>189</v>
      </c>
      <c r="C116" t="s">
        <v>103</v>
      </c>
      <c r="D116" t="s">
        <v>103</v>
      </c>
      <c r="E116">
        <v>401</v>
      </c>
      <c r="F116">
        <v>401</v>
      </c>
      <c r="G116">
        <v>401</v>
      </c>
      <c r="H116">
        <v>400</v>
      </c>
      <c r="I116">
        <v>296</v>
      </c>
      <c r="J116">
        <v>296</v>
      </c>
    </row>
    <row r="117" spans="2:10">
      <c r="B117" t="s">
        <v>190</v>
      </c>
      <c r="C117" t="s">
        <v>103</v>
      </c>
      <c r="D117" t="s">
        <v>103</v>
      </c>
      <c r="E117" s="83">
        <v>1046</v>
      </c>
      <c r="F117" s="83">
        <v>1026</v>
      </c>
      <c r="G117">
        <v>998</v>
      </c>
      <c r="H117">
        <v>994</v>
      </c>
      <c r="I117">
        <v>991</v>
      </c>
      <c r="J117">
        <v>907</v>
      </c>
    </row>
    <row r="118" spans="2:10">
      <c r="B118" t="s">
        <v>191</v>
      </c>
      <c r="C118" t="s">
        <v>103</v>
      </c>
      <c r="D118" t="s">
        <v>103</v>
      </c>
      <c r="E118">
        <v>56</v>
      </c>
      <c r="F118">
        <v>51</v>
      </c>
      <c r="G118">
        <v>50</v>
      </c>
      <c r="H118">
        <v>50</v>
      </c>
      <c r="I118">
        <v>50</v>
      </c>
      <c r="J118">
        <v>50</v>
      </c>
    </row>
    <row r="119" spans="2:10">
      <c r="B119" t="s">
        <v>192</v>
      </c>
      <c r="C119" t="s">
        <v>103</v>
      </c>
      <c r="D119" t="s">
        <v>103</v>
      </c>
      <c r="E119">
        <v>0</v>
      </c>
      <c r="F119">
        <v>0</v>
      </c>
      <c r="G119">
        <v>0</v>
      </c>
      <c r="H119">
        <v>0</v>
      </c>
      <c r="I119">
        <v>0</v>
      </c>
      <c r="J119">
        <v>0</v>
      </c>
    </row>
    <row r="120" spans="2:10">
      <c r="B120" t="s">
        <v>193</v>
      </c>
      <c r="C120" t="s">
        <v>103</v>
      </c>
      <c r="D120" t="s">
        <v>103</v>
      </c>
      <c r="E120">
        <v>-751</v>
      </c>
      <c r="F120">
        <v>-722</v>
      </c>
      <c r="G120">
        <v>-694</v>
      </c>
      <c r="H120">
        <v>-666</v>
      </c>
      <c r="I120">
        <v>-640</v>
      </c>
      <c r="J120">
        <v>-617</v>
      </c>
    </row>
    <row r="121" spans="2:10">
      <c r="B121" t="s">
        <v>194</v>
      </c>
      <c r="C121" t="s">
        <v>103</v>
      </c>
      <c r="D121" t="s">
        <v>103</v>
      </c>
      <c r="E121">
        <v>0</v>
      </c>
      <c r="F121">
        <v>0</v>
      </c>
      <c r="G121">
        <v>0</v>
      </c>
      <c r="H121">
        <v>0</v>
      </c>
      <c r="I121">
        <v>0</v>
      </c>
      <c r="J121">
        <v>0</v>
      </c>
    </row>
    <row r="122" spans="2:10">
      <c r="B122" t="s">
        <v>195</v>
      </c>
      <c r="C122" t="s">
        <v>103</v>
      </c>
      <c r="D122" t="s">
        <v>103</v>
      </c>
      <c r="E122">
        <v>54</v>
      </c>
      <c r="F122">
        <v>63</v>
      </c>
      <c r="G122">
        <v>75</v>
      </c>
      <c r="H122">
        <v>80</v>
      </c>
      <c r="I122">
        <v>151</v>
      </c>
      <c r="J122">
        <v>177</v>
      </c>
    </row>
    <row r="123" spans="2:10">
      <c r="B123" t="s">
        <v>196</v>
      </c>
      <c r="C123" s="83">
        <v>1229</v>
      </c>
      <c r="D123" s="83">
        <v>1244</v>
      </c>
      <c r="E123" s="83">
        <v>1226</v>
      </c>
      <c r="F123" s="83">
        <v>1239</v>
      </c>
      <c r="G123" s="83">
        <v>1249</v>
      </c>
      <c r="H123" s="83">
        <v>1277</v>
      </c>
      <c r="I123" s="83">
        <v>1266</v>
      </c>
      <c r="J123" s="83">
        <v>1231</v>
      </c>
    </row>
    <row r="124" spans="2:10">
      <c r="B124" t="s">
        <v>197</v>
      </c>
      <c r="C124">
        <v>25</v>
      </c>
      <c r="D124">
        <v>26</v>
      </c>
      <c r="E124">
        <v>25</v>
      </c>
      <c r="F124">
        <v>24</v>
      </c>
      <c r="G124">
        <v>22</v>
      </c>
      <c r="H124">
        <v>19</v>
      </c>
      <c r="I124">
        <v>18</v>
      </c>
      <c r="J124">
        <v>19</v>
      </c>
    </row>
    <row r="125" spans="2:10">
      <c r="B125" t="s">
        <v>198</v>
      </c>
      <c r="C125">
        <v>5</v>
      </c>
      <c r="D125">
        <v>6</v>
      </c>
      <c r="E125">
        <v>6</v>
      </c>
      <c r="F125">
        <v>7</v>
      </c>
      <c r="G125">
        <v>8</v>
      </c>
      <c r="H125">
        <v>7</v>
      </c>
      <c r="I125">
        <v>8</v>
      </c>
      <c r="J125">
        <v>8</v>
      </c>
    </row>
    <row r="126" spans="2:10">
      <c r="B126" t="s">
        <v>199</v>
      </c>
      <c r="C126">
        <v>389</v>
      </c>
      <c r="D126">
        <v>209</v>
      </c>
      <c r="E126">
        <v>126</v>
      </c>
      <c r="F126">
        <v>87</v>
      </c>
      <c r="G126">
        <v>95</v>
      </c>
      <c r="H126">
        <v>11</v>
      </c>
      <c r="I126">
        <v>11</v>
      </c>
      <c r="J126">
        <v>54</v>
      </c>
    </row>
    <row r="127" spans="2:10">
      <c r="B127" t="s">
        <v>200</v>
      </c>
      <c r="C127">
        <v>420</v>
      </c>
      <c r="D127">
        <v>241</v>
      </c>
      <c r="E127">
        <v>157</v>
      </c>
      <c r="F127">
        <v>118</v>
      </c>
      <c r="G127">
        <v>124</v>
      </c>
      <c r="H127">
        <v>37</v>
      </c>
      <c r="I127">
        <v>37</v>
      </c>
      <c r="J127">
        <v>81</v>
      </c>
    </row>
    <row r="128" spans="2:10">
      <c r="B128" t="s">
        <v>18</v>
      </c>
      <c r="C128" s="83">
        <v>2624</v>
      </c>
      <c r="D128" s="83">
        <v>2379</v>
      </c>
      <c r="E128" s="83">
        <v>2219</v>
      </c>
      <c r="F128" s="83">
        <v>2014</v>
      </c>
      <c r="G128" s="83">
        <v>1878</v>
      </c>
      <c r="H128" s="83">
        <v>1876</v>
      </c>
      <c r="I128" s="83">
        <v>1855</v>
      </c>
      <c r="J128" s="83">
        <v>1876</v>
      </c>
    </row>
    <row r="129" spans="2:10">
      <c r="B129" t="s">
        <v>222</v>
      </c>
      <c r="C129">
        <v>13</v>
      </c>
      <c r="D129">
        <v>20</v>
      </c>
      <c r="E129">
        <v>28</v>
      </c>
      <c r="F129">
        <v>0</v>
      </c>
      <c r="G129">
        <v>5</v>
      </c>
      <c r="H129">
        <v>13</v>
      </c>
      <c r="I129">
        <v>20</v>
      </c>
      <c r="J129">
        <v>28</v>
      </c>
    </row>
    <row r="130" spans="2:10">
      <c r="B130" t="s">
        <v>223</v>
      </c>
      <c r="C130">
        <v>0</v>
      </c>
      <c r="D130">
        <v>0</v>
      </c>
      <c r="E130">
        <v>0</v>
      </c>
      <c r="F130">
        <v>0</v>
      </c>
      <c r="G130">
        <v>0</v>
      </c>
      <c r="H130">
        <v>0</v>
      </c>
      <c r="I130">
        <v>0</v>
      </c>
      <c r="J130">
        <v>0</v>
      </c>
    </row>
    <row r="131" spans="2:10">
      <c r="B131" t="s">
        <v>16</v>
      </c>
      <c r="C131">
        <v>107</v>
      </c>
      <c r="D131">
        <v>92</v>
      </c>
      <c r="E131">
        <v>91</v>
      </c>
      <c r="F131">
        <v>41</v>
      </c>
      <c r="G131">
        <v>50</v>
      </c>
      <c r="H131">
        <v>39</v>
      </c>
      <c r="I131">
        <v>36</v>
      </c>
      <c r="J131">
        <v>45</v>
      </c>
    </row>
    <row r="132" spans="2:10">
      <c r="B132" t="s">
        <v>201</v>
      </c>
      <c r="C132">
        <v>0</v>
      </c>
      <c r="D132">
        <v>0</v>
      </c>
      <c r="E132">
        <v>0</v>
      </c>
      <c r="F132">
        <v>0</v>
      </c>
      <c r="G132">
        <v>0</v>
      </c>
      <c r="H132">
        <v>0</v>
      </c>
      <c r="I132">
        <v>0</v>
      </c>
      <c r="J132">
        <v>0</v>
      </c>
    </row>
    <row r="133" spans="2:10">
      <c r="B133" t="s">
        <v>202</v>
      </c>
      <c r="C133">
        <v>0</v>
      </c>
      <c r="D133">
        <v>0</v>
      </c>
      <c r="E133">
        <v>0</v>
      </c>
      <c r="F133">
        <v>0</v>
      </c>
      <c r="G133">
        <v>0</v>
      </c>
      <c r="H133">
        <v>0</v>
      </c>
      <c r="I133">
        <v>0</v>
      </c>
      <c r="J133">
        <v>0</v>
      </c>
    </row>
    <row r="134" spans="2:10">
      <c r="B134" t="s">
        <v>203</v>
      </c>
      <c r="C134">
        <v>199</v>
      </c>
      <c r="D134">
        <v>119</v>
      </c>
      <c r="E134">
        <v>90</v>
      </c>
      <c r="F134">
        <v>68</v>
      </c>
      <c r="G134">
        <v>110</v>
      </c>
      <c r="H134">
        <v>80</v>
      </c>
      <c r="I134">
        <v>80</v>
      </c>
      <c r="J134">
        <v>103</v>
      </c>
    </row>
    <row r="135" spans="2:10">
      <c r="B135" t="s">
        <v>204</v>
      </c>
      <c r="C135">
        <v>62</v>
      </c>
      <c r="D135">
        <v>74</v>
      </c>
      <c r="E135">
        <v>49</v>
      </c>
      <c r="F135">
        <v>34</v>
      </c>
      <c r="G135">
        <v>34</v>
      </c>
      <c r="H135">
        <v>40</v>
      </c>
      <c r="I135">
        <v>31</v>
      </c>
      <c r="J135">
        <v>25</v>
      </c>
    </row>
    <row r="136" spans="2:10">
      <c r="B136" t="s">
        <v>205</v>
      </c>
      <c r="C136">
        <v>111</v>
      </c>
      <c r="D136">
        <v>104</v>
      </c>
      <c r="E136">
        <v>104</v>
      </c>
      <c r="F136">
        <v>104</v>
      </c>
      <c r="G136">
        <v>83</v>
      </c>
      <c r="H136">
        <v>83</v>
      </c>
      <c r="I136">
        <v>83</v>
      </c>
      <c r="J136">
        <v>83</v>
      </c>
    </row>
    <row r="137" spans="2:10">
      <c r="B137" t="s">
        <v>206</v>
      </c>
      <c r="C137">
        <v>4</v>
      </c>
      <c r="D137">
        <v>3</v>
      </c>
      <c r="E137">
        <v>2</v>
      </c>
      <c r="F137">
        <v>3</v>
      </c>
      <c r="G137">
        <v>2</v>
      </c>
      <c r="H137">
        <v>2</v>
      </c>
      <c r="I137">
        <v>2</v>
      </c>
      <c r="J137">
        <v>3</v>
      </c>
    </row>
    <row r="138" spans="2:10">
      <c r="B138" t="s">
        <v>207</v>
      </c>
      <c r="C138">
        <v>496</v>
      </c>
      <c r="D138">
        <v>413</v>
      </c>
      <c r="E138">
        <v>364</v>
      </c>
      <c r="F138">
        <v>250</v>
      </c>
      <c r="G138">
        <v>284</v>
      </c>
      <c r="H138">
        <v>256</v>
      </c>
      <c r="I138">
        <v>251</v>
      </c>
      <c r="J138">
        <v>287</v>
      </c>
    </row>
    <row r="139" spans="2:10">
      <c r="B139" t="s">
        <v>208</v>
      </c>
      <c r="C139">
        <v>446</v>
      </c>
      <c r="D139">
        <v>380</v>
      </c>
      <c r="E139">
        <v>405</v>
      </c>
      <c r="F139">
        <v>431</v>
      </c>
      <c r="G139">
        <v>339</v>
      </c>
      <c r="H139">
        <v>360</v>
      </c>
      <c r="I139">
        <v>395</v>
      </c>
      <c r="J139">
        <v>445</v>
      </c>
    </row>
    <row r="140" spans="2:10">
      <c r="B140" t="s">
        <v>209</v>
      </c>
      <c r="C140">
        <v>0</v>
      </c>
      <c r="D140">
        <v>0</v>
      </c>
      <c r="E140">
        <v>0</v>
      </c>
      <c r="F140">
        <v>0</v>
      </c>
      <c r="G140">
        <v>0</v>
      </c>
      <c r="H140">
        <v>0</v>
      </c>
      <c r="I140">
        <v>0</v>
      </c>
      <c r="J140">
        <v>0</v>
      </c>
    </row>
    <row r="141" spans="2:10">
      <c r="B141" t="s">
        <v>210</v>
      </c>
      <c r="C141">
        <v>7</v>
      </c>
      <c r="D141">
        <v>7</v>
      </c>
      <c r="E141">
        <v>7</v>
      </c>
      <c r="F141">
        <v>7</v>
      </c>
      <c r="G141">
        <v>7</v>
      </c>
      <c r="H141">
        <v>7</v>
      </c>
      <c r="I141">
        <v>8</v>
      </c>
      <c r="J141">
        <v>6</v>
      </c>
    </row>
    <row r="142" spans="2:10">
      <c r="B142" t="s">
        <v>211</v>
      </c>
      <c r="C142">
        <v>0</v>
      </c>
      <c r="D142">
        <v>1</v>
      </c>
      <c r="E142">
        <v>2</v>
      </c>
      <c r="F142">
        <v>0</v>
      </c>
      <c r="G142">
        <v>0</v>
      </c>
      <c r="H142">
        <v>0</v>
      </c>
      <c r="I142">
        <v>0</v>
      </c>
      <c r="J142">
        <v>0</v>
      </c>
    </row>
    <row r="143" spans="2:10">
      <c r="B143" t="s">
        <v>212</v>
      </c>
      <c r="C143">
        <v>0</v>
      </c>
      <c r="D143">
        <v>0</v>
      </c>
      <c r="E143">
        <v>0</v>
      </c>
      <c r="F143">
        <v>0</v>
      </c>
      <c r="G143">
        <v>0</v>
      </c>
      <c r="H143">
        <v>0</v>
      </c>
      <c r="I143">
        <v>0</v>
      </c>
      <c r="J143">
        <v>0</v>
      </c>
    </row>
    <row r="144" spans="2:10">
      <c r="B144" t="s">
        <v>213</v>
      </c>
      <c r="C144">
        <v>0</v>
      </c>
      <c r="D144">
        <v>0</v>
      </c>
      <c r="E144">
        <v>0</v>
      </c>
      <c r="F144">
        <v>0</v>
      </c>
      <c r="G144">
        <v>0</v>
      </c>
      <c r="H144">
        <v>0</v>
      </c>
      <c r="I144">
        <v>0</v>
      </c>
      <c r="J144">
        <v>0</v>
      </c>
    </row>
    <row r="145" spans="2:10">
      <c r="B145" t="s">
        <v>214</v>
      </c>
      <c r="C145">
        <v>0</v>
      </c>
      <c r="D145">
        <v>0</v>
      </c>
      <c r="E145">
        <v>0</v>
      </c>
      <c r="F145">
        <v>0</v>
      </c>
      <c r="G145">
        <v>0</v>
      </c>
      <c r="H145">
        <v>0</v>
      </c>
      <c r="I145">
        <v>0</v>
      </c>
      <c r="J145">
        <v>0</v>
      </c>
    </row>
    <row r="146" spans="2:10">
      <c r="B146" t="s">
        <v>215</v>
      </c>
      <c r="C146">
        <v>7</v>
      </c>
      <c r="D146">
        <v>8</v>
      </c>
      <c r="E146">
        <v>9</v>
      </c>
      <c r="F146">
        <v>8</v>
      </c>
      <c r="G146">
        <v>7</v>
      </c>
      <c r="H146">
        <v>8</v>
      </c>
      <c r="I146">
        <v>8</v>
      </c>
      <c r="J146">
        <v>6</v>
      </c>
    </row>
    <row r="147" spans="2:10">
      <c r="B147" t="s">
        <v>17</v>
      </c>
      <c r="C147">
        <v>949</v>
      </c>
      <c r="D147">
        <v>801</v>
      </c>
      <c r="E147">
        <v>778</v>
      </c>
      <c r="F147">
        <v>689</v>
      </c>
      <c r="G147">
        <v>630</v>
      </c>
      <c r="H147">
        <v>623</v>
      </c>
      <c r="I147">
        <v>654</v>
      </c>
      <c r="J147">
        <v>738</v>
      </c>
    </row>
    <row r="148" spans="2:10">
      <c r="B148" t="s">
        <v>216</v>
      </c>
      <c r="C148" s="83">
        <v>1674</v>
      </c>
      <c r="D148" s="83">
        <v>1578</v>
      </c>
      <c r="E148" s="83">
        <v>1441</v>
      </c>
      <c r="F148" s="83">
        <v>1325</v>
      </c>
      <c r="G148" s="83">
        <v>1247</v>
      </c>
      <c r="H148" s="83">
        <v>1253</v>
      </c>
      <c r="I148" s="83">
        <v>1201</v>
      </c>
      <c r="J148" s="83">
        <v>1138</v>
      </c>
    </row>
    <row r="149" spans="2:10">
      <c r="B149" t="s">
        <v>224</v>
      </c>
      <c r="C149">
        <v>766</v>
      </c>
      <c r="D149">
        <v>766</v>
      </c>
      <c r="E149">
        <v>766</v>
      </c>
      <c r="F149">
        <v>766</v>
      </c>
      <c r="G149">
        <v>694</v>
      </c>
      <c r="H149">
        <v>694</v>
      </c>
      <c r="I149">
        <v>694</v>
      </c>
      <c r="J149">
        <v>640</v>
      </c>
    </row>
    <row r="150" spans="2:10">
      <c r="B150" t="s">
        <v>225</v>
      </c>
      <c r="C150">
        <v>0</v>
      </c>
      <c r="D150">
        <v>0</v>
      </c>
      <c r="E150">
        <v>0</v>
      </c>
      <c r="F150">
        <v>0</v>
      </c>
      <c r="G150">
        <v>0</v>
      </c>
      <c r="H150">
        <v>0</v>
      </c>
      <c r="I150">
        <v>0</v>
      </c>
      <c r="J150">
        <v>0</v>
      </c>
    </row>
    <row r="151" spans="2:10">
      <c r="B151" t="s">
        <v>226</v>
      </c>
      <c r="C151">
        <v>43</v>
      </c>
      <c r="D151">
        <v>43</v>
      </c>
      <c r="E151">
        <v>43</v>
      </c>
      <c r="F151">
        <v>43</v>
      </c>
      <c r="G151">
        <v>43</v>
      </c>
      <c r="H151">
        <v>43</v>
      </c>
      <c r="I151">
        <v>43</v>
      </c>
      <c r="J151">
        <v>43</v>
      </c>
    </row>
    <row r="152" spans="2:10">
      <c r="B152" t="s">
        <v>227</v>
      </c>
      <c r="C152">
        <v>140</v>
      </c>
      <c r="D152">
        <v>113</v>
      </c>
      <c r="E152">
        <v>113</v>
      </c>
      <c r="F152">
        <v>113</v>
      </c>
      <c r="G152">
        <v>113</v>
      </c>
      <c r="H152">
        <v>93</v>
      </c>
      <c r="I152">
        <v>93</v>
      </c>
      <c r="J152">
        <v>93</v>
      </c>
    </row>
    <row r="153" spans="2:10">
      <c r="B153" t="s">
        <v>228</v>
      </c>
      <c r="C153">
        <v>0</v>
      </c>
      <c r="D153">
        <v>0</v>
      </c>
      <c r="E153">
        <v>0</v>
      </c>
      <c r="F153">
        <v>0</v>
      </c>
      <c r="G153">
        <v>0</v>
      </c>
      <c r="H153">
        <v>0</v>
      </c>
      <c r="I153">
        <v>0</v>
      </c>
      <c r="J153">
        <v>0</v>
      </c>
    </row>
    <row r="154" spans="2:10">
      <c r="B154" t="s">
        <v>229</v>
      </c>
      <c r="C154">
        <v>579</v>
      </c>
      <c r="D154">
        <v>656</v>
      </c>
      <c r="E154">
        <v>518</v>
      </c>
      <c r="F154">
        <v>403</v>
      </c>
      <c r="G154">
        <v>325</v>
      </c>
      <c r="H154">
        <v>422</v>
      </c>
      <c r="I154">
        <v>371</v>
      </c>
      <c r="J154">
        <v>308</v>
      </c>
    </row>
    <row r="155" spans="2:10">
      <c r="B155" t="s">
        <v>230</v>
      </c>
      <c r="C155">
        <v>0</v>
      </c>
      <c r="D155">
        <v>0</v>
      </c>
      <c r="E155">
        <v>0</v>
      </c>
      <c r="F155">
        <v>0</v>
      </c>
      <c r="G155">
        <v>0</v>
      </c>
      <c r="H155">
        <v>0</v>
      </c>
      <c r="I155">
        <v>0</v>
      </c>
      <c r="J155">
        <v>0</v>
      </c>
    </row>
    <row r="156" spans="2:10">
      <c r="B156" t="s">
        <v>217</v>
      </c>
      <c r="C156">
        <v>0</v>
      </c>
      <c r="D156">
        <v>0</v>
      </c>
      <c r="E156">
        <v>0</v>
      </c>
      <c r="F156">
        <v>0</v>
      </c>
      <c r="G156">
        <v>0</v>
      </c>
      <c r="H156">
        <v>0</v>
      </c>
      <c r="I156">
        <v>0</v>
      </c>
      <c r="J156">
        <v>0</v>
      </c>
    </row>
    <row r="157" spans="2:10">
      <c r="B157" t="s">
        <v>218</v>
      </c>
      <c r="C157" s="83">
        <v>2624</v>
      </c>
      <c r="D157" s="83">
        <v>2379</v>
      </c>
      <c r="E157" s="83">
        <v>2219</v>
      </c>
      <c r="F157" s="83">
        <v>2014</v>
      </c>
      <c r="G157" s="83">
        <v>1878</v>
      </c>
      <c r="H157" s="83">
        <v>1876</v>
      </c>
      <c r="I157" s="83">
        <v>1855</v>
      </c>
      <c r="J157" s="83">
        <v>1876</v>
      </c>
    </row>
    <row r="158" spans="2:10">
      <c r="B158" t="s">
        <v>115</v>
      </c>
    </row>
    <row r="159" spans="2:10">
      <c r="B159" t="s">
        <v>116</v>
      </c>
    </row>
    <row r="201" spans="2:10">
      <c r="B201" t="s">
        <v>2485</v>
      </c>
    </row>
    <row r="202" spans="2:10">
      <c r="B202" t="s">
        <v>49</v>
      </c>
    </row>
    <row r="203" spans="2:10">
      <c r="B203" t="s">
        <v>52</v>
      </c>
      <c r="C203" t="s">
        <v>263</v>
      </c>
      <c r="D203" t="s">
        <v>53</v>
      </c>
      <c r="E203" t="s">
        <v>54</v>
      </c>
      <c r="F203" t="s">
        <v>55</v>
      </c>
      <c r="G203" t="s">
        <v>56</v>
      </c>
      <c r="H203" t="s">
        <v>57</v>
      </c>
      <c r="I203" t="s">
        <v>58</v>
      </c>
      <c r="J203" t="s">
        <v>59</v>
      </c>
    </row>
    <row r="204" spans="2:10">
      <c r="B204" t="s">
        <v>117</v>
      </c>
      <c r="C204">
        <v>142</v>
      </c>
      <c r="D204">
        <v>138</v>
      </c>
      <c r="E204">
        <v>115</v>
      </c>
      <c r="F204">
        <v>78</v>
      </c>
      <c r="G204">
        <v>25</v>
      </c>
      <c r="H204">
        <v>52</v>
      </c>
      <c r="I204">
        <v>64</v>
      </c>
      <c r="J204">
        <v>39</v>
      </c>
    </row>
    <row r="205" spans="2:10">
      <c r="B205" t="s">
        <v>118</v>
      </c>
      <c r="C205">
        <v>0</v>
      </c>
      <c r="D205">
        <v>0</v>
      </c>
      <c r="E205">
        <v>0</v>
      </c>
      <c r="F205">
        <v>0</v>
      </c>
      <c r="G205">
        <v>0</v>
      </c>
      <c r="H205">
        <v>0</v>
      </c>
      <c r="I205">
        <v>0</v>
      </c>
      <c r="J205">
        <v>0</v>
      </c>
    </row>
    <row r="206" spans="2:10">
      <c r="B206" t="s">
        <v>119</v>
      </c>
      <c r="C206">
        <v>30</v>
      </c>
      <c r="D206">
        <v>30</v>
      </c>
      <c r="E206">
        <v>29</v>
      </c>
      <c r="F206">
        <v>28</v>
      </c>
      <c r="G206">
        <v>28</v>
      </c>
      <c r="H206">
        <v>26</v>
      </c>
      <c r="I206">
        <v>23</v>
      </c>
      <c r="J206">
        <v>23</v>
      </c>
    </row>
    <row r="207" spans="2:10">
      <c r="B207" t="s">
        <v>120</v>
      </c>
      <c r="C207">
        <v>0</v>
      </c>
      <c r="D207">
        <v>1</v>
      </c>
      <c r="E207">
        <v>1</v>
      </c>
      <c r="F207">
        <v>1</v>
      </c>
      <c r="G207">
        <v>0</v>
      </c>
      <c r="H207">
        <v>0</v>
      </c>
      <c r="I207">
        <v>0</v>
      </c>
      <c r="J207">
        <v>1</v>
      </c>
    </row>
    <row r="208" spans="2:10">
      <c r="B208" t="s">
        <v>121</v>
      </c>
      <c r="C208">
        <v>0</v>
      </c>
      <c r="D208">
        <v>0</v>
      </c>
      <c r="E208">
        <v>0</v>
      </c>
      <c r="F208">
        <v>0</v>
      </c>
      <c r="G208">
        <v>0</v>
      </c>
      <c r="H208">
        <v>0</v>
      </c>
      <c r="I208">
        <v>0</v>
      </c>
      <c r="J208">
        <v>0</v>
      </c>
    </row>
    <row r="209" spans="2:10">
      <c r="B209" t="s">
        <v>122</v>
      </c>
      <c r="C209">
        <v>1</v>
      </c>
      <c r="D209">
        <v>1</v>
      </c>
      <c r="E209">
        <v>1</v>
      </c>
      <c r="F209">
        <v>1</v>
      </c>
      <c r="G209">
        <v>1</v>
      </c>
      <c r="H209">
        <v>0</v>
      </c>
      <c r="I209">
        <v>0</v>
      </c>
      <c r="J209">
        <v>1</v>
      </c>
    </row>
    <row r="210" spans="2:10">
      <c r="B210" t="s">
        <v>123</v>
      </c>
      <c r="C210">
        <v>0</v>
      </c>
      <c r="D210">
        <v>0</v>
      </c>
      <c r="E210">
        <v>0</v>
      </c>
      <c r="F210">
        <v>0</v>
      </c>
      <c r="G210">
        <v>0</v>
      </c>
      <c r="H210">
        <v>0</v>
      </c>
      <c r="I210">
        <v>0</v>
      </c>
      <c r="J210">
        <v>0</v>
      </c>
    </row>
    <row r="211" spans="2:10">
      <c r="B211" t="s">
        <v>124</v>
      </c>
      <c r="C211" t="s">
        <v>103</v>
      </c>
      <c r="D211" t="s">
        <v>103</v>
      </c>
      <c r="E211" t="s">
        <v>103</v>
      </c>
      <c r="F211" t="s">
        <v>103</v>
      </c>
      <c r="G211" t="s">
        <v>103</v>
      </c>
      <c r="H211" t="s">
        <v>103</v>
      </c>
      <c r="I211" t="s">
        <v>103</v>
      </c>
      <c r="J211" t="s">
        <v>103</v>
      </c>
    </row>
    <row r="212" spans="2:10">
      <c r="B212" t="s">
        <v>125</v>
      </c>
      <c r="C212">
        <v>0</v>
      </c>
      <c r="D212">
        <v>0</v>
      </c>
      <c r="E212">
        <v>0</v>
      </c>
      <c r="F212">
        <v>0</v>
      </c>
      <c r="G212">
        <v>0</v>
      </c>
      <c r="H212">
        <v>0</v>
      </c>
      <c r="I212">
        <v>0</v>
      </c>
      <c r="J212">
        <v>0</v>
      </c>
    </row>
    <row r="213" spans="2:10">
      <c r="B213" t="s">
        <v>126</v>
      </c>
      <c r="C213">
        <v>0</v>
      </c>
      <c r="D213">
        <v>0</v>
      </c>
      <c r="E213">
        <v>0</v>
      </c>
      <c r="F213">
        <v>0</v>
      </c>
      <c r="G213">
        <v>0</v>
      </c>
      <c r="H213">
        <v>0</v>
      </c>
      <c r="I213">
        <v>0</v>
      </c>
      <c r="J213">
        <v>0</v>
      </c>
    </row>
    <row r="214" spans="2:10">
      <c r="B214" t="s">
        <v>127</v>
      </c>
      <c r="C214">
        <v>0</v>
      </c>
      <c r="D214">
        <v>0</v>
      </c>
      <c r="E214">
        <v>0</v>
      </c>
      <c r="F214">
        <v>0</v>
      </c>
      <c r="G214">
        <v>0</v>
      </c>
      <c r="H214">
        <v>0</v>
      </c>
      <c r="I214">
        <v>0</v>
      </c>
      <c r="J214">
        <v>0</v>
      </c>
    </row>
    <row r="215" spans="2:10">
      <c r="B215" t="s">
        <v>128</v>
      </c>
      <c r="C215">
        <v>10</v>
      </c>
      <c r="D215">
        <v>-72</v>
      </c>
      <c r="E215">
        <v>-12</v>
      </c>
      <c r="F215">
        <v>-77</v>
      </c>
      <c r="G215">
        <v>58</v>
      </c>
      <c r="H215">
        <v>-20</v>
      </c>
      <c r="I215" t="s">
        <v>103</v>
      </c>
      <c r="J215">
        <v>-111</v>
      </c>
    </row>
    <row r="216" spans="2:10">
      <c r="B216" t="s">
        <v>129</v>
      </c>
      <c r="C216">
        <v>-25</v>
      </c>
      <c r="D216">
        <v>-6</v>
      </c>
      <c r="E216">
        <v>-11</v>
      </c>
      <c r="F216">
        <v>19</v>
      </c>
      <c r="G216">
        <v>-7</v>
      </c>
      <c r="H216">
        <v>31</v>
      </c>
      <c r="I216" t="s">
        <v>103</v>
      </c>
      <c r="J216" t="s">
        <v>103</v>
      </c>
    </row>
    <row r="217" spans="2:10">
      <c r="B217" t="s">
        <v>130</v>
      </c>
      <c r="C217">
        <v>14</v>
      </c>
      <c r="D217">
        <v>1</v>
      </c>
      <c r="E217">
        <v>50</v>
      </c>
      <c r="F217">
        <v>-9</v>
      </c>
      <c r="G217">
        <v>11</v>
      </c>
      <c r="H217">
        <v>3</v>
      </c>
      <c r="I217" t="s">
        <v>103</v>
      </c>
      <c r="J217" t="s">
        <v>103</v>
      </c>
    </row>
    <row r="218" spans="2:10">
      <c r="B218" t="s">
        <v>131</v>
      </c>
      <c r="C218">
        <v>-73</v>
      </c>
      <c r="D218">
        <v>34</v>
      </c>
      <c r="E218">
        <v>34</v>
      </c>
      <c r="F218">
        <v>-11</v>
      </c>
      <c r="G218">
        <v>-12</v>
      </c>
      <c r="H218">
        <v>6</v>
      </c>
      <c r="I218">
        <v>19</v>
      </c>
      <c r="J218">
        <v>-82</v>
      </c>
    </row>
    <row r="219" spans="2:10">
      <c r="B219" t="s">
        <v>19</v>
      </c>
      <c r="C219">
        <v>100</v>
      </c>
      <c r="D219">
        <v>127</v>
      </c>
      <c r="E219">
        <v>207</v>
      </c>
      <c r="F219">
        <v>30</v>
      </c>
      <c r="G219">
        <v>104</v>
      </c>
      <c r="H219">
        <v>98</v>
      </c>
      <c r="I219">
        <v>107</v>
      </c>
      <c r="J219">
        <v>-19</v>
      </c>
    </row>
    <row r="220" spans="2:10">
      <c r="B220" t="s">
        <v>132</v>
      </c>
      <c r="C220">
        <v>0</v>
      </c>
      <c r="D220">
        <v>0</v>
      </c>
      <c r="E220">
        <v>0</v>
      </c>
      <c r="F220">
        <v>0</v>
      </c>
      <c r="G220">
        <v>0</v>
      </c>
      <c r="H220">
        <v>0</v>
      </c>
      <c r="I220">
        <v>0</v>
      </c>
      <c r="J220">
        <v>0</v>
      </c>
    </row>
    <row r="221" spans="2:10">
      <c r="B221" t="s">
        <v>133</v>
      </c>
      <c r="C221">
        <v>0</v>
      </c>
      <c r="D221">
        <v>0</v>
      </c>
      <c r="E221">
        <v>0</v>
      </c>
      <c r="F221">
        <v>0</v>
      </c>
      <c r="G221">
        <v>0</v>
      </c>
      <c r="H221">
        <v>0</v>
      </c>
      <c r="I221">
        <v>0</v>
      </c>
      <c r="J221">
        <v>0</v>
      </c>
    </row>
    <row r="222" spans="2:10">
      <c r="B222" t="s">
        <v>21</v>
      </c>
      <c r="C222">
        <v>0</v>
      </c>
      <c r="D222">
        <v>0</v>
      </c>
      <c r="E222">
        <v>0</v>
      </c>
      <c r="F222">
        <v>0</v>
      </c>
      <c r="G222">
        <v>0</v>
      </c>
      <c r="H222">
        <v>0</v>
      </c>
      <c r="I222">
        <v>0</v>
      </c>
      <c r="J222">
        <v>0</v>
      </c>
    </row>
    <row r="223" spans="2:10">
      <c r="B223" t="s">
        <v>134</v>
      </c>
      <c r="C223">
        <v>0</v>
      </c>
      <c r="D223">
        <v>0</v>
      </c>
      <c r="E223">
        <v>0</v>
      </c>
      <c r="F223">
        <v>0</v>
      </c>
      <c r="G223">
        <v>0</v>
      </c>
      <c r="H223">
        <v>0</v>
      </c>
      <c r="I223">
        <v>0</v>
      </c>
      <c r="J223">
        <v>0</v>
      </c>
    </row>
    <row r="224" spans="2:10">
      <c r="B224" t="s">
        <v>20</v>
      </c>
      <c r="C224">
        <v>-126</v>
      </c>
      <c r="D224">
        <v>-118</v>
      </c>
      <c r="E224">
        <v>-56</v>
      </c>
      <c r="F224">
        <v>-11</v>
      </c>
      <c r="G224">
        <v>-83</v>
      </c>
      <c r="H224">
        <v>-36</v>
      </c>
      <c r="I224">
        <v>-22</v>
      </c>
      <c r="J224">
        <v>-47</v>
      </c>
    </row>
    <row r="225" spans="2:10">
      <c r="B225" t="s">
        <v>135</v>
      </c>
      <c r="C225">
        <v>-4</v>
      </c>
      <c r="D225">
        <v>-2</v>
      </c>
      <c r="E225">
        <v>2</v>
      </c>
      <c r="F225">
        <v>0</v>
      </c>
      <c r="G225">
        <v>-1</v>
      </c>
      <c r="H225">
        <v>-1</v>
      </c>
      <c r="I225">
        <v>1</v>
      </c>
      <c r="J225">
        <v>0</v>
      </c>
    </row>
    <row r="226" spans="2:10">
      <c r="B226" t="s">
        <v>136</v>
      </c>
      <c r="C226">
        <v>-130</v>
      </c>
      <c r="D226">
        <v>-120</v>
      </c>
      <c r="E226">
        <v>-55</v>
      </c>
      <c r="F226">
        <v>-11</v>
      </c>
      <c r="G226">
        <v>-84</v>
      </c>
      <c r="H226">
        <v>-37</v>
      </c>
      <c r="I226">
        <v>-21</v>
      </c>
      <c r="J226">
        <v>-47</v>
      </c>
    </row>
    <row r="227" spans="2:10">
      <c r="B227" t="s">
        <v>137</v>
      </c>
      <c r="C227">
        <v>0</v>
      </c>
      <c r="D227">
        <v>0</v>
      </c>
      <c r="E227">
        <v>0</v>
      </c>
      <c r="F227">
        <v>0</v>
      </c>
      <c r="G227">
        <v>0</v>
      </c>
      <c r="H227">
        <v>0</v>
      </c>
      <c r="I227">
        <v>0</v>
      </c>
      <c r="J227">
        <v>0</v>
      </c>
    </row>
    <row r="228" spans="2:10">
      <c r="B228" t="s">
        <v>138</v>
      </c>
      <c r="C228">
        <v>0</v>
      </c>
      <c r="D228">
        <v>0</v>
      </c>
      <c r="E228">
        <v>0</v>
      </c>
      <c r="F228">
        <v>-31</v>
      </c>
      <c r="G228">
        <v>0</v>
      </c>
      <c r="H228">
        <v>0</v>
      </c>
      <c r="I228">
        <v>-23</v>
      </c>
      <c r="J228">
        <v>0</v>
      </c>
    </row>
    <row r="229" spans="2:10">
      <c r="B229" t="s">
        <v>139</v>
      </c>
      <c r="C229">
        <v>0</v>
      </c>
      <c r="D229">
        <v>0</v>
      </c>
      <c r="E229">
        <v>0</v>
      </c>
      <c r="F229">
        <v>0</v>
      </c>
      <c r="G229">
        <v>0</v>
      </c>
      <c r="H229">
        <v>0</v>
      </c>
      <c r="I229">
        <v>0</v>
      </c>
      <c r="J229">
        <v>0</v>
      </c>
    </row>
    <row r="230" spans="2:10">
      <c r="B230" t="s">
        <v>140</v>
      </c>
      <c r="C230">
        <v>-8</v>
      </c>
      <c r="D230">
        <v>-8</v>
      </c>
      <c r="E230">
        <v>28</v>
      </c>
      <c r="F230">
        <v>-5</v>
      </c>
      <c r="G230">
        <v>-8</v>
      </c>
      <c r="H230">
        <v>-8</v>
      </c>
      <c r="I230" t="s">
        <v>103</v>
      </c>
      <c r="J230" t="s">
        <v>103</v>
      </c>
    </row>
    <row r="231" spans="2:10">
      <c r="B231" t="s">
        <v>141</v>
      </c>
      <c r="C231">
        <v>74</v>
      </c>
      <c r="D231">
        <v>-26</v>
      </c>
      <c r="E231">
        <v>-26</v>
      </c>
      <c r="F231">
        <v>113</v>
      </c>
      <c r="G231">
        <v>-20</v>
      </c>
      <c r="H231">
        <v>-35</v>
      </c>
      <c r="I231" t="s">
        <v>103</v>
      </c>
      <c r="J231" t="s">
        <v>103</v>
      </c>
    </row>
    <row r="232" spans="2:10">
      <c r="B232" t="s">
        <v>142</v>
      </c>
      <c r="C232">
        <v>0</v>
      </c>
      <c r="D232">
        <v>0</v>
      </c>
      <c r="E232">
        <v>0</v>
      </c>
      <c r="F232">
        <v>0</v>
      </c>
      <c r="G232">
        <v>0</v>
      </c>
      <c r="H232">
        <v>0</v>
      </c>
      <c r="I232">
        <v>0</v>
      </c>
      <c r="J232">
        <v>0</v>
      </c>
    </row>
    <row r="233" spans="2:10">
      <c r="B233" t="s">
        <v>143</v>
      </c>
      <c r="C233">
        <v>0</v>
      </c>
      <c r="D233">
        <v>0</v>
      </c>
      <c r="E233">
        <v>0</v>
      </c>
      <c r="F233">
        <v>0</v>
      </c>
      <c r="G233">
        <v>0</v>
      </c>
      <c r="H233">
        <v>0</v>
      </c>
      <c r="I233">
        <v>0</v>
      </c>
      <c r="J233">
        <v>0</v>
      </c>
    </row>
    <row r="234" spans="2:10">
      <c r="B234" t="s">
        <v>144</v>
      </c>
      <c r="C234">
        <v>0</v>
      </c>
      <c r="D234">
        <v>0</v>
      </c>
      <c r="E234">
        <v>0</v>
      </c>
      <c r="F234">
        <v>0</v>
      </c>
      <c r="G234">
        <v>0</v>
      </c>
      <c r="H234">
        <v>0</v>
      </c>
      <c r="I234">
        <v>0</v>
      </c>
      <c r="J234">
        <v>0</v>
      </c>
    </row>
    <row r="235" spans="2:10">
      <c r="B235" t="s">
        <v>145</v>
      </c>
      <c r="C235">
        <v>0</v>
      </c>
      <c r="D235">
        <v>0</v>
      </c>
      <c r="E235">
        <v>0</v>
      </c>
      <c r="F235">
        <v>0</v>
      </c>
      <c r="G235">
        <v>0</v>
      </c>
      <c r="H235">
        <v>0</v>
      </c>
      <c r="I235">
        <v>-58</v>
      </c>
      <c r="J235">
        <v>59</v>
      </c>
    </row>
    <row r="236" spans="2:10">
      <c r="B236" t="s">
        <v>146</v>
      </c>
      <c r="C236">
        <v>66</v>
      </c>
      <c r="D236">
        <v>-33</v>
      </c>
      <c r="E236">
        <v>2</v>
      </c>
      <c r="F236">
        <v>77</v>
      </c>
      <c r="G236">
        <v>-28</v>
      </c>
      <c r="H236">
        <v>-43</v>
      </c>
      <c r="I236">
        <v>-81</v>
      </c>
      <c r="J236">
        <v>59</v>
      </c>
    </row>
    <row r="237" spans="2:10">
      <c r="B237" t="s">
        <v>147</v>
      </c>
      <c r="C237">
        <v>0</v>
      </c>
      <c r="D237">
        <v>0</v>
      </c>
      <c r="E237">
        <v>1</v>
      </c>
      <c r="F237">
        <v>0</v>
      </c>
      <c r="G237">
        <v>0</v>
      </c>
      <c r="H237">
        <v>0</v>
      </c>
      <c r="I237">
        <v>0</v>
      </c>
      <c r="J237">
        <v>0</v>
      </c>
    </row>
    <row r="238" spans="2:10">
      <c r="B238" t="s">
        <v>148</v>
      </c>
      <c r="C238">
        <v>36</v>
      </c>
      <c r="D238">
        <v>-27</v>
      </c>
      <c r="E238">
        <v>155</v>
      </c>
      <c r="F238">
        <v>97</v>
      </c>
      <c r="G238">
        <v>-8</v>
      </c>
      <c r="H238">
        <v>18</v>
      </c>
      <c r="I238">
        <v>6</v>
      </c>
      <c r="J238">
        <v>-8</v>
      </c>
    </row>
    <row r="239" spans="2:10">
      <c r="B239" t="s">
        <v>149</v>
      </c>
      <c r="C239">
        <v>303</v>
      </c>
      <c r="D239">
        <v>329</v>
      </c>
      <c r="E239">
        <v>174</v>
      </c>
      <c r="F239">
        <v>77</v>
      </c>
      <c r="G239">
        <v>86</v>
      </c>
      <c r="H239">
        <v>68</v>
      </c>
      <c r="I239">
        <v>63</v>
      </c>
      <c r="J239">
        <v>71</v>
      </c>
    </row>
    <row r="240" spans="2:10">
      <c r="B240" t="s">
        <v>150</v>
      </c>
      <c r="C240">
        <v>339</v>
      </c>
      <c r="D240">
        <v>303</v>
      </c>
      <c r="E240">
        <v>329</v>
      </c>
      <c r="F240">
        <v>174</v>
      </c>
      <c r="G240">
        <v>77</v>
      </c>
      <c r="H240">
        <v>86</v>
      </c>
      <c r="I240">
        <v>68</v>
      </c>
      <c r="J240">
        <v>63</v>
      </c>
    </row>
    <row r="241" spans="2:10">
      <c r="B241" t="s">
        <v>151</v>
      </c>
      <c r="C241">
        <v>2</v>
      </c>
      <c r="D241">
        <v>2</v>
      </c>
      <c r="E241">
        <v>3</v>
      </c>
      <c r="F241">
        <v>2</v>
      </c>
      <c r="G241">
        <v>2</v>
      </c>
      <c r="H241">
        <v>2</v>
      </c>
      <c r="I241">
        <v>3</v>
      </c>
      <c r="J241">
        <v>2</v>
      </c>
    </row>
    <row r="242" spans="2:10">
      <c r="B242" t="s">
        <v>152</v>
      </c>
      <c r="C242" t="s">
        <v>103</v>
      </c>
      <c r="D242" t="s">
        <v>103</v>
      </c>
      <c r="E242" t="s">
        <v>103</v>
      </c>
      <c r="F242" t="s">
        <v>103</v>
      </c>
      <c r="G242" t="s">
        <v>103</v>
      </c>
      <c r="H242" t="s">
        <v>103</v>
      </c>
      <c r="I242" t="s">
        <v>103</v>
      </c>
      <c r="J242" t="s">
        <v>103</v>
      </c>
    </row>
    <row r="243" spans="2:10">
      <c r="B243" t="s">
        <v>153</v>
      </c>
    </row>
    <row r="244" spans="2:10">
      <c r="B244" t="s">
        <v>154</v>
      </c>
    </row>
    <row r="245" spans="2:10">
      <c r="B245" t="s">
        <v>115</v>
      </c>
    </row>
    <row r="246" spans="2:10">
      <c r="B246" t="s">
        <v>116</v>
      </c>
    </row>
  </sheetData>
  <sheetProtection sheet="1" objects="1" scenarios="1"/>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T38"/>
  <sheetViews>
    <sheetView workbookViewId="0">
      <pane xSplit="1" ySplit="1" topLeftCell="B5" activePane="bottomRight" state="frozen"/>
      <selection pane="topRight" activeCell="B1" sqref="B1"/>
      <selection pane="bottomLeft" activeCell="A2" sqref="A2"/>
      <selection pane="bottomRight" activeCell="M22" sqref="M22"/>
    </sheetView>
  </sheetViews>
  <sheetFormatPr defaultRowHeight="16.5"/>
  <cols>
    <col min="2" max="2" width="2.25" customWidth="1"/>
  </cols>
  <sheetData>
    <row r="1" spans="1:20">
      <c r="A1" t="s">
        <v>272</v>
      </c>
      <c r="B1" s="68"/>
      <c r="C1" s="68"/>
      <c r="D1" s="68"/>
      <c r="E1" s="68"/>
      <c r="F1" s="68"/>
      <c r="G1" s="68"/>
      <c r="H1" s="68"/>
      <c r="I1" s="68"/>
      <c r="J1" s="68"/>
      <c r="K1" s="68"/>
      <c r="L1" s="68"/>
      <c r="M1" s="68"/>
      <c r="N1" s="68"/>
      <c r="O1" s="68"/>
      <c r="P1" s="68"/>
      <c r="Q1" s="68"/>
      <c r="R1" s="68"/>
      <c r="S1" s="68"/>
      <c r="T1" s="68"/>
    </row>
    <row r="2" spans="1:20">
      <c r="A2" s="68">
        <v>1570</v>
      </c>
      <c r="B2" s="68"/>
      <c r="C2" s="68" t="s">
        <v>280</v>
      </c>
      <c r="D2" s="68"/>
      <c r="E2" s="68"/>
      <c r="F2" s="68"/>
      <c r="G2" s="68"/>
      <c r="H2" s="68"/>
      <c r="I2" s="68"/>
      <c r="J2" s="68"/>
      <c r="K2" s="68"/>
      <c r="L2" s="68"/>
      <c r="M2" s="68"/>
      <c r="N2" s="68"/>
      <c r="O2" s="68"/>
      <c r="P2" s="68"/>
      <c r="Q2" s="68"/>
      <c r="R2" s="68"/>
      <c r="S2" s="68"/>
      <c r="T2" s="68"/>
    </row>
    <row r="3" spans="1:20">
      <c r="A3" s="68">
        <v>5315</v>
      </c>
      <c r="B3" s="68"/>
      <c r="C3" s="68"/>
      <c r="D3" s="68"/>
      <c r="E3" s="68"/>
      <c r="F3" s="68"/>
      <c r="G3" s="68"/>
      <c r="H3" s="68"/>
      <c r="I3" s="68"/>
      <c r="J3" s="68"/>
      <c r="K3" s="68"/>
      <c r="L3" s="68"/>
      <c r="M3" s="68"/>
      <c r="N3" s="68"/>
      <c r="O3" s="68"/>
      <c r="P3" s="68"/>
      <c r="Q3" s="68"/>
      <c r="R3" s="68"/>
      <c r="S3" s="68"/>
      <c r="T3" s="68"/>
    </row>
    <row r="4" spans="1:20">
      <c r="A4" s="68">
        <v>3511</v>
      </c>
      <c r="B4" s="68"/>
      <c r="C4" s="68" t="s">
        <v>281</v>
      </c>
      <c r="D4" s="68"/>
      <c r="E4" s="68"/>
      <c r="F4" s="68"/>
      <c r="G4" s="68"/>
      <c r="H4" s="68"/>
      <c r="I4" s="68"/>
      <c r="J4" s="68"/>
      <c r="K4" s="68"/>
      <c r="L4" s="68"/>
      <c r="M4" s="68"/>
      <c r="N4" s="68"/>
      <c r="O4" s="68"/>
      <c r="P4" s="68"/>
      <c r="Q4" s="68" t="s">
        <v>278</v>
      </c>
      <c r="R4" s="68"/>
      <c r="S4" s="68"/>
      <c r="T4" s="68"/>
    </row>
    <row r="5" spans="1:20">
      <c r="A5" s="68">
        <v>1442</v>
      </c>
      <c r="B5" s="68"/>
      <c r="C5" s="68" t="s">
        <v>274</v>
      </c>
      <c r="D5" s="68" t="s">
        <v>275</v>
      </c>
      <c r="E5" s="68" t="s">
        <v>276</v>
      </c>
      <c r="F5" s="68" t="s">
        <v>277</v>
      </c>
      <c r="G5" s="68" t="s">
        <v>274</v>
      </c>
      <c r="H5" s="68" t="s">
        <v>275</v>
      </c>
      <c r="I5" s="68" t="s">
        <v>276</v>
      </c>
      <c r="J5" s="68" t="s">
        <v>277</v>
      </c>
      <c r="K5" s="68"/>
      <c r="L5" s="68"/>
      <c r="M5" s="68"/>
      <c r="N5" s="68"/>
      <c r="O5" s="68"/>
      <c r="P5" s="68"/>
      <c r="Q5" s="68"/>
      <c r="R5" s="68"/>
      <c r="S5" s="68"/>
      <c r="T5" s="68"/>
    </row>
    <row r="6" spans="1:20">
      <c r="A6" s="68">
        <v>1471</v>
      </c>
      <c r="B6" s="68"/>
      <c r="C6" s="90">
        <v>42279</v>
      </c>
      <c r="D6" s="68">
        <v>0</v>
      </c>
      <c r="E6" s="68">
        <v>0</v>
      </c>
      <c r="F6" s="68">
        <v>0</v>
      </c>
      <c r="G6" s="90">
        <v>42256</v>
      </c>
      <c r="H6" s="68">
        <v>0</v>
      </c>
      <c r="I6" s="68">
        <v>0</v>
      </c>
      <c r="J6" s="68">
        <v>0</v>
      </c>
      <c r="K6" s="68"/>
      <c r="L6" s="68"/>
      <c r="M6" s="68"/>
      <c r="N6" s="68"/>
      <c r="O6" s="68"/>
      <c r="P6" s="68"/>
      <c r="Q6" s="68" t="s">
        <v>279</v>
      </c>
      <c r="R6" s="68"/>
      <c r="S6" s="68"/>
      <c r="T6" s="68"/>
    </row>
    <row r="7" spans="1:20">
      <c r="A7" s="68">
        <v>4722</v>
      </c>
      <c r="B7" s="68"/>
      <c r="C7" s="90">
        <v>42278</v>
      </c>
      <c r="D7" s="68">
        <v>0</v>
      </c>
      <c r="E7" s="68">
        <v>0</v>
      </c>
      <c r="F7" s="68">
        <v>0</v>
      </c>
      <c r="G7" s="90">
        <v>42255</v>
      </c>
      <c r="H7" s="68">
        <v>0</v>
      </c>
      <c r="I7" s="68">
        <v>0</v>
      </c>
      <c r="J7" s="68">
        <v>0</v>
      </c>
      <c r="K7" s="68"/>
      <c r="L7" s="68"/>
      <c r="M7" s="68"/>
      <c r="N7" s="68"/>
      <c r="O7" s="68"/>
      <c r="P7" s="68"/>
      <c r="Q7" s="68"/>
      <c r="R7" s="68"/>
      <c r="S7" s="68"/>
      <c r="T7" s="68"/>
    </row>
    <row r="8" spans="1:20">
      <c r="A8" s="68">
        <v>8433</v>
      </c>
      <c r="B8" s="68"/>
      <c r="C8" s="90">
        <v>42277</v>
      </c>
      <c r="D8" s="68">
        <v>0</v>
      </c>
      <c r="E8" s="68">
        <v>0</v>
      </c>
      <c r="F8" s="68">
        <v>0</v>
      </c>
      <c r="G8" s="90">
        <v>42254</v>
      </c>
      <c r="H8" s="68">
        <v>0</v>
      </c>
      <c r="I8" s="68">
        <v>0</v>
      </c>
      <c r="J8" s="68">
        <v>0</v>
      </c>
      <c r="K8" s="68"/>
      <c r="L8" s="68"/>
      <c r="M8" s="68"/>
      <c r="N8" s="68"/>
      <c r="O8" s="68"/>
      <c r="P8" s="68"/>
      <c r="Q8" s="68"/>
      <c r="R8" s="68"/>
      <c r="S8" s="68"/>
      <c r="T8" s="68"/>
    </row>
    <row r="9" spans="1:20">
      <c r="A9" s="68">
        <v>6220</v>
      </c>
      <c r="B9" s="68"/>
      <c r="C9" s="90">
        <v>42272</v>
      </c>
      <c r="D9" s="68">
        <v>0</v>
      </c>
      <c r="E9" s="68">
        <v>0</v>
      </c>
      <c r="F9" s="68">
        <v>0</v>
      </c>
      <c r="G9" s="90">
        <v>42251</v>
      </c>
      <c r="H9" s="68">
        <v>0</v>
      </c>
      <c r="I9" s="68">
        <v>0</v>
      </c>
      <c r="J9" s="68">
        <v>0</v>
      </c>
      <c r="K9" s="68"/>
      <c r="L9" s="68"/>
      <c r="M9" s="68"/>
      <c r="N9" s="68"/>
      <c r="O9" s="68"/>
      <c r="P9" s="68"/>
      <c r="Q9" s="68"/>
      <c r="R9" s="68"/>
      <c r="S9" s="68"/>
      <c r="T9" s="68"/>
    </row>
    <row r="10" spans="1:20">
      <c r="A10" s="68">
        <v>3038</v>
      </c>
      <c r="B10" s="68"/>
      <c r="C10" s="90">
        <v>42271</v>
      </c>
      <c r="D10" s="68">
        <v>0</v>
      </c>
      <c r="E10" s="68">
        <v>0</v>
      </c>
      <c r="F10" s="68">
        <v>0</v>
      </c>
      <c r="G10" s="90">
        <v>42250</v>
      </c>
      <c r="H10" s="68">
        <v>0</v>
      </c>
      <c r="I10" s="68">
        <v>0</v>
      </c>
      <c r="J10" s="68">
        <v>0</v>
      </c>
      <c r="K10" s="68"/>
      <c r="L10" s="68"/>
      <c r="M10" s="68"/>
      <c r="N10" s="68"/>
      <c r="O10" s="68"/>
      <c r="P10" s="68"/>
      <c r="Q10" s="68"/>
      <c r="R10" s="68"/>
      <c r="S10" s="68"/>
      <c r="T10" s="68"/>
    </row>
    <row r="11" spans="1:20">
      <c r="A11" s="68">
        <v>1541</v>
      </c>
      <c r="B11" s="68"/>
      <c r="C11" s="90">
        <v>42270</v>
      </c>
      <c r="D11" s="68">
        <v>0</v>
      </c>
      <c r="E11" s="68">
        <v>0</v>
      </c>
      <c r="F11" s="68">
        <v>0</v>
      </c>
      <c r="G11" s="90">
        <v>42249</v>
      </c>
      <c r="H11" s="68">
        <v>0</v>
      </c>
      <c r="I11" s="68">
        <v>0</v>
      </c>
      <c r="J11" s="68">
        <v>0</v>
      </c>
      <c r="K11" s="68"/>
      <c r="L11" s="68"/>
      <c r="M11" s="68"/>
      <c r="N11" s="68"/>
      <c r="O11" s="68"/>
      <c r="P11" s="68"/>
      <c r="Q11" s="68"/>
      <c r="R11" s="68"/>
      <c r="S11" s="68"/>
      <c r="T11" s="68"/>
    </row>
    <row r="12" spans="1:20">
      <c r="A12" s="68">
        <v>9924</v>
      </c>
      <c r="B12" s="68"/>
      <c r="C12" s="90">
        <v>42269</v>
      </c>
      <c r="D12" s="68">
        <v>0</v>
      </c>
      <c r="E12" s="68">
        <v>0</v>
      </c>
      <c r="F12" s="68">
        <v>0</v>
      </c>
      <c r="G12" s="90">
        <v>42248</v>
      </c>
      <c r="H12" s="68">
        <v>0</v>
      </c>
      <c r="I12" s="68">
        <v>0</v>
      </c>
      <c r="J12" s="68">
        <v>0</v>
      </c>
      <c r="K12" s="68"/>
      <c r="L12" s="68"/>
      <c r="M12" s="68"/>
      <c r="N12" s="68"/>
      <c r="O12" s="68"/>
      <c r="P12" s="68"/>
      <c r="Q12" s="68"/>
      <c r="R12" s="68"/>
      <c r="S12" s="68"/>
      <c r="T12" s="68"/>
    </row>
    <row r="13" spans="1:20">
      <c r="A13" s="68">
        <v>9934</v>
      </c>
      <c r="B13" s="68"/>
      <c r="C13" s="90">
        <v>42268</v>
      </c>
      <c r="D13" s="68">
        <v>0</v>
      </c>
      <c r="E13" s="68">
        <v>0</v>
      </c>
      <c r="F13" s="68">
        <v>0</v>
      </c>
      <c r="G13" s="90">
        <v>42247</v>
      </c>
      <c r="H13" s="68">
        <v>0</v>
      </c>
      <c r="I13" s="68">
        <v>0</v>
      </c>
      <c r="J13" s="68">
        <v>0</v>
      </c>
      <c r="K13" s="68"/>
      <c r="L13" s="68"/>
      <c r="M13" s="68"/>
      <c r="N13" s="68"/>
      <c r="O13" s="68"/>
      <c r="P13" s="68"/>
      <c r="Q13" s="68"/>
      <c r="R13" s="68"/>
      <c r="S13" s="68"/>
      <c r="T13" s="68"/>
    </row>
    <row r="14" spans="1:20">
      <c r="A14" s="68">
        <v>2634</v>
      </c>
      <c r="B14" s="68"/>
      <c r="C14" s="90">
        <v>42265</v>
      </c>
      <c r="D14" s="68">
        <v>0</v>
      </c>
      <c r="E14" s="68">
        <v>0</v>
      </c>
      <c r="F14" s="68">
        <v>0</v>
      </c>
      <c r="G14" s="90">
        <v>42244</v>
      </c>
      <c r="H14" s="68">
        <v>0</v>
      </c>
      <c r="I14" s="68">
        <v>0</v>
      </c>
      <c r="J14" s="68">
        <v>0</v>
      </c>
      <c r="K14" s="68"/>
      <c r="L14" s="68"/>
      <c r="M14" s="68"/>
      <c r="N14" s="68"/>
      <c r="O14" s="68"/>
      <c r="P14" s="68"/>
      <c r="Q14" s="68"/>
      <c r="R14" s="68"/>
      <c r="S14" s="68"/>
      <c r="T14" s="68"/>
    </row>
    <row r="15" spans="1:20">
      <c r="A15" s="68">
        <v>8222</v>
      </c>
      <c r="B15" s="68"/>
      <c r="C15" s="90">
        <v>42264</v>
      </c>
      <c r="D15" s="68">
        <v>0</v>
      </c>
      <c r="E15" s="68">
        <v>0</v>
      </c>
      <c r="F15" s="68">
        <v>0</v>
      </c>
      <c r="G15" s="90">
        <v>42243</v>
      </c>
      <c r="H15" s="68">
        <v>0</v>
      </c>
      <c r="I15" s="68">
        <v>0</v>
      </c>
      <c r="J15" s="68">
        <v>0</v>
      </c>
      <c r="K15" s="68"/>
      <c r="L15" s="68"/>
      <c r="M15" s="68"/>
      <c r="N15" s="68"/>
      <c r="O15" s="68"/>
      <c r="P15" s="68"/>
      <c r="Q15" s="68"/>
      <c r="R15" s="68"/>
      <c r="S15" s="68"/>
      <c r="T15" s="68"/>
    </row>
    <row r="16" spans="1:20">
      <c r="A16" s="68">
        <v>4541</v>
      </c>
      <c r="B16" s="68"/>
      <c r="C16" s="90">
        <v>42263</v>
      </c>
      <c r="D16" s="68">
        <v>0</v>
      </c>
      <c r="E16" s="68">
        <v>0</v>
      </c>
      <c r="F16" s="68">
        <v>0</v>
      </c>
      <c r="G16" s="90">
        <v>42242</v>
      </c>
      <c r="H16" s="68">
        <v>0</v>
      </c>
      <c r="I16" s="68">
        <v>0</v>
      </c>
      <c r="J16" s="68">
        <v>0</v>
      </c>
      <c r="K16" s="68"/>
      <c r="L16" s="68"/>
      <c r="M16" s="68"/>
      <c r="N16" s="68"/>
      <c r="O16" s="68"/>
      <c r="P16" s="68"/>
      <c r="Q16" s="68"/>
      <c r="R16" s="68"/>
      <c r="S16" s="68"/>
      <c r="T16" s="68"/>
    </row>
    <row r="17" spans="1:20">
      <c r="A17" s="68">
        <v>3004</v>
      </c>
      <c r="B17" s="68"/>
      <c r="C17" s="90">
        <v>42262</v>
      </c>
      <c r="D17" s="68">
        <v>0</v>
      </c>
      <c r="E17" s="68">
        <v>0</v>
      </c>
      <c r="F17" s="68">
        <v>0</v>
      </c>
      <c r="G17" s="90">
        <v>42241</v>
      </c>
      <c r="H17" s="68">
        <v>0</v>
      </c>
      <c r="I17" s="68">
        <v>0</v>
      </c>
      <c r="J17" s="68">
        <v>0</v>
      </c>
      <c r="K17" s="68"/>
      <c r="L17" s="68"/>
      <c r="M17" s="68"/>
      <c r="N17" s="68"/>
      <c r="O17" s="68"/>
      <c r="P17" s="68"/>
      <c r="Q17" s="68"/>
      <c r="R17" s="68"/>
      <c r="S17" s="68"/>
      <c r="T17" s="68"/>
    </row>
    <row r="18" spans="1:20">
      <c r="A18" s="68">
        <v>2455</v>
      </c>
      <c r="B18" s="68"/>
      <c r="C18" s="90">
        <v>42261</v>
      </c>
      <c r="D18" s="68">
        <v>0</v>
      </c>
      <c r="E18" s="68">
        <v>0</v>
      </c>
      <c r="F18" s="68">
        <v>0</v>
      </c>
      <c r="G18" s="90">
        <v>42240</v>
      </c>
      <c r="H18" s="68">
        <v>0</v>
      </c>
      <c r="I18" s="68">
        <v>0</v>
      </c>
      <c r="J18" s="68">
        <v>0</v>
      </c>
      <c r="K18" s="68"/>
      <c r="L18" s="68"/>
      <c r="M18" s="68"/>
      <c r="N18" s="68"/>
      <c r="O18" s="68"/>
      <c r="P18" s="68"/>
      <c r="Q18" s="68"/>
      <c r="R18" s="68"/>
      <c r="S18" s="68"/>
      <c r="T18" s="68"/>
    </row>
    <row r="19" spans="1:20">
      <c r="A19" s="68">
        <v>3105</v>
      </c>
      <c r="B19" s="68"/>
      <c r="C19" s="90">
        <v>42258</v>
      </c>
      <c r="D19" s="68">
        <v>0</v>
      </c>
      <c r="E19" s="68">
        <v>0</v>
      </c>
      <c r="F19" s="68">
        <v>0</v>
      </c>
      <c r="G19" s="90">
        <v>42237</v>
      </c>
      <c r="H19" s="68">
        <v>0</v>
      </c>
      <c r="I19" s="68">
        <v>0</v>
      </c>
      <c r="J19" s="68">
        <v>0</v>
      </c>
      <c r="K19" s="68"/>
      <c r="L19" s="68"/>
      <c r="M19" s="68"/>
      <c r="N19" s="68"/>
      <c r="O19" s="68"/>
      <c r="P19" s="68"/>
      <c r="Q19" s="68"/>
      <c r="R19" s="68"/>
      <c r="S19" s="68"/>
      <c r="T19" s="68"/>
    </row>
    <row r="20" spans="1:20">
      <c r="A20" s="68">
        <v>6205</v>
      </c>
      <c r="B20" s="68"/>
      <c r="C20" s="90">
        <v>42257</v>
      </c>
      <c r="D20" s="68">
        <v>0</v>
      </c>
      <c r="E20" s="68">
        <v>0</v>
      </c>
      <c r="F20" s="68">
        <v>0</v>
      </c>
      <c r="G20" s="90">
        <v>42236</v>
      </c>
      <c r="H20" s="68">
        <v>0</v>
      </c>
      <c r="I20" s="68">
        <v>0</v>
      </c>
      <c r="J20" s="68">
        <v>0</v>
      </c>
      <c r="K20" s="68"/>
      <c r="L20" s="68"/>
      <c r="M20" s="68"/>
      <c r="N20" s="68"/>
      <c r="O20" s="68"/>
      <c r="P20" s="68"/>
      <c r="Q20" s="68"/>
      <c r="R20" s="68"/>
      <c r="S20" s="68"/>
      <c r="T20" s="68"/>
    </row>
    <row r="21" spans="1:20">
      <c r="A21" s="68">
        <v>4401</v>
      </c>
      <c r="B21" s="68"/>
      <c r="C21" s="68"/>
      <c r="D21" s="68"/>
      <c r="E21" s="68"/>
      <c r="F21" s="68"/>
      <c r="G21" s="68"/>
      <c r="H21" s="68"/>
      <c r="I21" s="68"/>
      <c r="J21" s="68"/>
      <c r="K21" s="68"/>
      <c r="L21" s="68"/>
      <c r="M21" s="68"/>
      <c r="N21" s="68"/>
      <c r="O21" s="68"/>
      <c r="P21" s="68"/>
      <c r="Q21" s="68"/>
      <c r="R21" s="68"/>
      <c r="S21" s="68"/>
      <c r="T21" s="68"/>
    </row>
    <row r="22" spans="1:20">
      <c r="A22" s="68">
        <v>1471</v>
      </c>
    </row>
    <row r="23" spans="1:20">
      <c r="A23" s="68">
        <v>1442</v>
      </c>
    </row>
    <row r="24" spans="1:20">
      <c r="A24" s="68">
        <v>5245</v>
      </c>
    </row>
    <row r="25" spans="1:20">
      <c r="A25" s="68">
        <v>8042</v>
      </c>
    </row>
    <row r="26" spans="1:20">
      <c r="A26" s="68">
        <v>2437</v>
      </c>
    </row>
    <row r="27" spans="1:20">
      <c r="A27" s="68">
        <v>8255</v>
      </c>
    </row>
    <row r="28" spans="1:20">
      <c r="A28" s="68">
        <v>6277</v>
      </c>
    </row>
    <row r="29" spans="1:20">
      <c r="A29" s="68">
        <v>8050</v>
      </c>
    </row>
    <row r="30" spans="1:20">
      <c r="A30" s="68"/>
    </row>
    <row r="31" spans="1:20">
      <c r="A31" s="68"/>
    </row>
    <row r="32" spans="1:20">
      <c r="A32" s="68"/>
    </row>
    <row r="33" spans="1:1">
      <c r="A33" s="68"/>
    </row>
    <row r="34" spans="1:1">
      <c r="A34" s="68"/>
    </row>
    <row r="35" spans="1:1">
      <c r="A35" s="68"/>
    </row>
    <row r="36" spans="1:1">
      <c r="A36" s="68"/>
    </row>
    <row r="37" spans="1:1">
      <c r="A37" s="68"/>
    </row>
    <row r="38" spans="1:1">
      <c r="A38" s="68"/>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9460" r:id="rId4" name="CommandButton2">
          <controlPr defaultSize="0" autoLine="0" autoPict="0" r:id="rId5">
            <anchor moveWithCells="1">
              <from>
                <xdr:col>0</xdr:col>
                <xdr:colOff>38100</xdr:colOff>
                <xdr:row>0</xdr:row>
                <xdr:rowOff>0</xdr:rowOff>
              </from>
              <to>
                <xdr:col>0</xdr:col>
                <xdr:colOff>666750</xdr:colOff>
                <xdr:row>0</xdr:row>
                <xdr:rowOff>180975</xdr:rowOff>
              </to>
            </anchor>
          </controlPr>
        </control>
      </mc:Choice>
      <mc:Fallback>
        <control shapeId="19460" r:id="rId4" name="CommandButton2"/>
      </mc:Fallback>
    </mc:AlternateContent>
    <mc:AlternateContent xmlns:mc="http://schemas.openxmlformats.org/markup-compatibility/2006">
      <mc:Choice Requires="x14">
        <control shapeId="19457" r:id="rId6" name="CommandButton1">
          <controlPr defaultSize="0" autoLine="0" r:id="rId7">
            <anchor moveWithCells="1">
              <from>
                <xdr:col>0</xdr:col>
                <xdr:colOff>95250</xdr:colOff>
                <xdr:row>31</xdr:row>
                <xdr:rowOff>104775</xdr:rowOff>
              </from>
              <to>
                <xdr:col>0</xdr:col>
                <xdr:colOff>314325</xdr:colOff>
                <xdr:row>32</xdr:row>
                <xdr:rowOff>66675</xdr:rowOff>
              </to>
            </anchor>
          </controlPr>
        </control>
      </mc:Choice>
      <mc:Fallback>
        <control shapeId="19457"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K5000"/>
  <sheetViews>
    <sheetView zoomScaleNormal="100" workbookViewId="0">
      <pane xSplit="10" ySplit="1" topLeftCell="K2" activePane="bottomRight" state="frozen"/>
      <selection pane="topRight" activeCell="K1" sqref="K1"/>
      <selection pane="bottomLeft" activeCell="A2" sqref="A2"/>
      <selection pane="bottomRight" activeCell="I66" sqref="I66"/>
    </sheetView>
  </sheetViews>
  <sheetFormatPr defaultColWidth="9" defaultRowHeight="16.5"/>
  <cols>
    <col min="1" max="1" width="12.5" style="57" customWidth="1"/>
    <col min="2" max="2" width="9.5" style="57" bestFit="1" customWidth="1"/>
    <col min="3" max="10" width="15.125" style="57" customWidth="1"/>
    <col min="11" max="11" width="38.125" style="57" customWidth="1"/>
    <col min="12" max="16384" width="9" style="57"/>
  </cols>
  <sheetData>
    <row r="1" spans="1:11" s="39" customFormat="1" ht="48" customHeight="1">
      <c r="A1" s="86" t="s">
        <v>623</v>
      </c>
      <c r="B1" s="87" t="s">
        <v>1079</v>
      </c>
      <c r="C1" s="87" t="s">
        <v>265</v>
      </c>
      <c r="D1" s="87" t="s">
        <v>266</v>
      </c>
      <c r="E1" s="87" t="s">
        <v>267</v>
      </c>
      <c r="F1" s="88" t="s">
        <v>270</v>
      </c>
      <c r="G1" s="88" t="s">
        <v>269</v>
      </c>
      <c r="H1" s="88" t="s">
        <v>264</v>
      </c>
      <c r="I1" s="88" t="s">
        <v>268</v>
      </c>
      <c r="J1" s="89" t="s">
        <v>271</v>
      </c>
      <c r="K1" s="87"/>
    </row>
    <row r="2" spans="1:11" customFormat="1" hidden="1">
      <c r="A2">
        <v>9962</v>
      </c>
      <c r="B2" t="s">
        <v>723</v>
      </c>
      <c r="C2" s="83">
        <v>128660</v>
      </c>
      <c r="D2" s="83">
        <v>145130</v>
      </c>
      <c r="E2" s="83">
        <v>303926</v>
      </c>
      <c r="F2">
        <v>-11.34</v>
      </c>
      <c r="G2">
        <v>-57.66</v>
      </c>
      <c r="H2" s="83">
        <v>1583850</v>
      </c>
      <c r="I2" s="83">
        <v>2097018</v>
      </c>
      <c r="J2">
        <v>-24.47</v>
      </c>
      <c r="K2" t="s">
        <v>724</v>
      </c>
    </row>
    <row r="3" spans="1:11" customFormat="1" hidden="1">
      <c r="A3">
        <v>9960</v>
      </c>
      <c r="B3" t="s">
        <v>578</v>
      </c>
      <c r="C3" s="83">
        <v>36845</v>
      </c>
      <c r="D3" s="83">
        <v>37345</v>
      </c>
      <c r="E3" s="83">
        <v>42657</v>
      </c>
      <c r="F3">
        <v>-1.33</v>
      </c>
      <c r="G3">
        <v>-13.62</v>
      </c>
      <c r="H3" s="83">
        <v>399290</v>
      </c>
      <c r="I3" s="83">
        <v>458288</v>
      </c>
      <c r="J3">
        <v>-12.87</v>
      </c>
      <c r="K3" t="s">
        <v>627</v>
      </c>
    </row>
    <row r="4" spans="1:11" customFormat="1">
      <c r="A4" s="109" t="str">
        <f>HYPERLINK("http://tw.stock.yahoo.com/q/ta?s=4907","4907")</f>
        <v>4907</v>
      </c>
      <c r="B4" s="109" t="str">
        <f>HYPERLINK("http://tw.stock.yahoo.com/d/s/earning_4907.html","富宇地產")</f>
        <v>富宇地產</v>
      </c>
      <c r="C4" s="83">
        <v>161990</v>
      </c>
      <c r="D4" s="83">
        <v>86</v>
      </c>
      <c r="E4" s="83">
        <v>10</v>
      </c>
      <c r="F4" s="114">
        <v>188260.46</v>
      </c>
      <c r="G4" s="114">
        <v>1619800</v>
      </c>
      <c r="H4" s="83">
        <v>314524</v>
      </c>
      <c r="I4" s="83">
        <v>67240</v>
      </c>
      <c r="J4" s="82">
        <v>367.76</v>
      </c>
      <c r="K4" t="s">
        <v>1001</v>
      </c>
    </row>
    <row r="5" spans="1:11" customFormat="1" hidden="1">
      <c r="A5">
        <v>9949</v>
      </c>
      <c r="B5" t="s">
        <v>577</v>
      </c>
      <c r="C5" s="83">
        <v>30307</v>
      </c>
      <c r="D5" s="83">
        <v>22755</v>
      </c>
      <c r="E5" s="83">
        <v>32796</v>
      </c>
      <c r="F5">
        <v>33.18</v>
      </c>
      <c r="G5">
        <v>-7.58</v>
      </c>
      <c r="H5" s="83">
        <v>287062</v>
      </c>
      <c r="I5" s="83">
        <v>357467</v>
      </c>
      <c r="J5">
        <v>-19.690000000000001</v>
      </c>
      <c r="K5" t="s">
        <v>627</v>
      </c>
    </row>
    <row r="6" spans="1:11" customFormat="1">
      <c r="A6" s="109" t="str">
        <f>HYPERLINK("http://tw.stock.yahoo.com/q/ta?s=4123","4123")</f>
        <v>4123</v>
      </c>
      <c r="B6" s="109" t="str">
        <f>HYPERLINK("http://tw.stock.yahoo.com/d/s/earning_4123.html","晟德")</f>
        <v>晟德</v>
      </c>
      <c r="C6" s="83">
        <v>1325241</v>
      </c>
      <c r="D6" s="83">
        <v>1048103</v>
      </c>
      <c r="E6" s="83">
        <v>68388</v>
      </c>
      <c r="F6">
        <v>26.44</v>
      </c>
      <c r="G6" s="114">
        <v>1837.82</v>
      </c>
      <c r="H6" s="83">
        <v>3001318</v>
      </c>
      <c r="I6" s="83">
        <v>655374</v>
      </c>
      <c r="J6" s="82">
        <v>357.95</v>
      </c>
      <c r="K6" t="s">
        <v>685</v>
      </c>
    </row>
    <row r="7" spans="1:11" customFormat="1" hidden="1">
      <c r="A7">
        <v>8941</v>
      </c>
      <c r="B7" t="s">
        <v>576</v>
      </c>
      <c r="C7" s="83">
        <v>187608</v>
      </c>
      <c r="D7" s="83">
        <v>200594</v>
      </c>
      <c r="E7" s="83">
        <v>217691</v>
      </c>
      <c r="F7">
        <v>-6.47</v>
      </c>
      <c r="G7">
        <v>-13.81</v>
      </c>
      <c r="H7" s="83">
        <v>1927369</v>
      </c>
      <c r="I7" s="83">
        <v>1994219</v>
      </c>
      <c r="J7">
        <v>-3.35</v>
      </c>
      <c r="K7" t="s">
        <v>627</v>
      </c>
    </row>
    <row r="8" spans="1:11" customFormat="1" hidden="1">
      <c r="A8">
        <v>8938</v>
      </c>
      <c r="B8" t="s">
        <v>575</v>
      </c>
      <c r="C8" s="83">
        <v>725449</v>
      </c>
      <c r="D8" s="83">
        <v>696124</v>
      </c>
      <c r="E8" s="83">
        <v>589675</v>
      </c>
      <c r="F8">
        <v>4.21</v>
      </c>
      <c r="G8">
        <v>23.02</v>
      </c>
      <c r="H8" s="83">
        <v>6122302</v>
      </c>
      <c r="I8" s="83">
        <v>6895990</v>
      </c>
      <c r="J8">
        <v>-11.21</v>
      </c>
      <c r="K8" t="s">
        <v>627</v>
      </c>
    </row>
    <row r="9" spans="1:11" customFormat="1" hidden="1">
      <c r="A9">
        <v>8935</v>
      </c>
      <c r="B9" t="s">
        <v>574</v>
      </c>
      <c r="C9" s="83">
        <v>74074</v>
      </c>
      <c r="D9" s="83">
        <v>69145</v>
      </c>
      <c r="E9" s="83">
        <v>87201</v>
      </c>
      <c r="F9">
        <v>7.12</v>
      </c>
      <c r="G9">
        <v>-15.05</v>
      </c>
      <c r="H9" s="83">
        <v>562136</v>
      </c>
      <c r="I9" s="83">
        <v>529052</v>
      </c>
      <c r="J9">
        <v>6.25</v>
      </c>
      <c r="K9" t="s">
        <v>627</v>
      </c>
    </row>
    <row r="10" spans="1:11" customFormat="1">
      <c r="A10" s="109" t="str">
        <f>HYPERLINK("http://tw.stock.yahoo.com/q/ta?s=4192","4192")</f>
        <v>4192</v>
      </c>
      <c r="B10" s="109" t="str">
        <f>HYPERLINK("http://tw.stock.yahoo.com/d/s/earning_4192.html","杏國新藥")</f>
        <v>杏國新藥</v>
      </c>
      <c r="C10" s="83">
        <v>672</v>
      </c>
      <c r="D10" s="83">
        <v>532</v>
      </c>
      <c r="E10" s="83">
        <v>423</v>
      </c>
      <c r="F10">
        <v>26.31</v>
      </c>
      <c r="G10">
        <v>58.86</v>
      </c>
      <c r="H10" s="83">
        <v>13639</v>
      </c>
      <c r="I10" s="83">
        <v>3548</v>
      </c>
      <c r="J10" s="82">
        <v>284.41000000000003</v>
      </c>
      <c r="K10" t="s">
        <v>706</v>
      </c>
    </row>
    <row r="11" spans="1:11" customFormat="1">
      <c r="A11" s="109" t="str">
        <f>HYPERLINK("http://tw.stock.yahoo.com/q/ta?s=6114","6114")</f>
        <v>6114</v>
      </c>
      <c r="B11" s="109" t="str">
        <f>HYPERLINK("http://tw.stock.yahoo.com/d/s/earning_6114.html","久威國際")</f>
        <v>久威國際</v>
      </c>
      <c r="C11" s="83">
        <v>158860</v>
      </c>
      <c r="D11" s="83">
        <v>137858</v>
      </c>
      <c r="E11" s="83">
        <v>49613</v>
      </c>
      <c r="F11">
        <v>15.23</v>
      </c>
      <c r="G11" s="82">
        <v>220.19</v>
      </c>
      <c r="H11" s="83">
        <v>1328303</v>
      </c>
      <c r="I11" s="83">
        <v>420928</v>
      </c>
      <c r="J11" s="82">
        <v>215.56</v>
      </c>
      <c r="K11" t="s">
        <v>905</v>
      </c>
    </row>
    <row r="12" spans="1:11" customFormat="1" hidden="1">
      <c r="A12">
        <v>8931</v>
      </c>
      <c r="B12" t="s">
        <v>996</v>
      </c>
      <c r="C12" s="83">
        <v>112873</v>
      </c>
      <c r="D12" s="83">
        <v>117244</v>
      </c>
      <c r="E12" s="83">
        <v>119412</v>
      </c>
      <c r="F12">
        <v>-3.72</v>
      </c>
      <c r="G12">
        <v>-5.47</v>
      </c>
      <c r="H12" s="83">
        <v>1017856</v>
      </c>
      <c r="I12" s="83">
        <v>1044618</v>
      </c>
      <c r="J12">
        <v>-2.56</v>
      </c>
      <c r="K12" t="s">
        <v>627</v>
      </c>
    </row>
    <row r="13" spans="1:11" customFormat="1" hidden="1">
      <c r="A13">
        <v>8930</v>
      </c>
      <c r="B13" t="s">
        <v>573</v>
      </c>
      <c r="C13" s="83">
        <v>85675</v>
      </c>
      <c r="D13" s="83">
        <v>81058</v>
      </c>
      <c r="E13" s="83">
        <v>127837</v>
      </c>
      <c r="F13">
        <v>5.69</v>
      </c>
      <c r="G13">
        <v>-32.979999999999997</v>
      </c>
      <c r="H13" s="83">
        <v>831979</v>
      </c>
      <c r="I13" s="83">
        <v>1059568</v>
      </c>
      <c r="J13">
        <v>-21.47</v>
      </c>
      <c r="K13" t="s">
        <v>627</v>
      </c>
    </row>
    <row r="14" spans="1:11" customFormat="1" hidden="1">
      <c r="A14">
        <v>8929</v>
      </c>
      <c r="B14" t="s">
        <v>572</v>
      </c>
      <c r="C14" s="83">
        <v>110517</v>
      </c>
      <c r="D14" s="83">
        <v>95324</v>
      </c>
      <c r="E14" s="83">
        <v>112652</v>
      </c>
      <c r="F14">
        <v>15.93</v>
      </c>
      <c r="G14">
        <v>-1.89</v>
      </c>
      <c r="H14" s="83">
        <v>985405</v>
      </c>
      <c r="I14" s="83">
        <v>917397</v>
      </c>
      <c r="J14">
        <v>7.41</v>
      </c>
      <c r="K14" t="s">
        <v>627</v>
      </c>
    </row>
    <row r="15" spans="1:11" customFormat="1">
      <c r="A15" s="109" t="str">
        <f>HYPERLINK("http://tw.stock.yahoo.com/q/ta?s=8096","8096")</f>
        <v>8096</v>
      </c>
      <c r="B15" s="109" t="str">
        <f>HYPERLINK("http://tw.stock.yahoo.com/d/s/earning_8096.html","擎亞科技")</f>
        <v>擎亞科技</v>
      </c>
      <c r="C15" s="83">
        <v>5163976</v>
      </c>
      <c r="D15" s="83">
        <v>4330511</v>
      </c>
      <c r="E15" s="83">
        <v>1581084</v>
      </c>
      <c r="F15">
        <v>19.239999999999998</v>
      </c>
      <c r="G15" s="82">
        <v>226.6</v>
      </c>
      <c r="H15" s="83">
        <v>28064401</v>
      </c>
      <c r="I15" s="83">
        <v>9957039</v>
      </c>
      <c r="J15" s="82">
        <v>181.85</v>
      </c>
      <c r="K15" t="s">
        <v>956</v>
      </c>
    </row>
    <row r="16" spans="1:11" customFormat="1" hidden="1">
      <c r="A16">
        <v>8927</v>
      </c>
      <c r="B16" t="s">
        <v>570</v>
      </c>
      <c r="C16" s="83">
        <v>303654</v>
      </c>
      <c r="D16" s="83">
        <v>296576</v>
      </c>
      <c r="E16" s="83">
        <v>325486</v>
      </c>
      <c r="F16">
        <v>2.38</v>
      </c>
      <c r="G16">
        <v>-6.7</v>
      </c>
      <c r="H16" s="83">
        <v>2486267</v>
      </c>
      <c r="I16" s="83">
        <v>3036877</v>
      </c>
      <c r="J16">
        <v>-18.13</v>
      </c>
      <c r="K16" t="s">
        <v>627</v>
      </c>
    </row>
    <row r="17" spans="1:11" customFormat="1" hidden="1">
      <c r="A17">
        <v>8924</v>
      </c>
      <c r="B17" t="s">
        <v>1056</v>
      </c>
      <c r="C17" s="83">
        <v>450665</v>
      </c>
      <c r="D17" s="83">
        <v>340755</v>
      </c>
      <c r="E17" s="83">
        <v>453394</v>
      </c>
      <c r="F17">
        <v>32.25</v>
      </c>
      <c r="G17">
        <v>-0.6</v>
      </c>
      <c r="H17" s="83">
        <v>2897510</v>
      </c>
      <c r="I17" s="83">
        <v>2751638</v>
      </c>
      <c r="J17">
        <v>5.3</v>
      </c>
      <c r="K17" t="s">
        <v>627</v>
      </c>
    </row>
    <row r="18" spans="1:11" customFormat="1">
      <c r="A18" s="109" t="str">
        <f>HYPERLINK("http://tw.stock.yahoo.com/q/ta?s=6111","6111")</f>
        <v>6111</v>
      </c>
      <c r="B18" s="109" t="str">
        <f>HYPERLINK("http://tw.stock.yahoo.com/d/s/earning_6111.html","大宇資訊")</f>
        <v>大宇資訊</v>
      </c>
      <c r="C18" s="83">
        <v>104988</v>
      </c>
      <c r="D18" s="83">
        <v>74079</v>
      </c>
      <c r="E18" s="83">
        <v>45181</v>
      </c>
      <c r="F18">
        <v>41.72</v>
      </c>
      <c r="G18" s="82">
        <v>132.37</v>
      </c>
      <c r="H18" s="83">
        <v>610046</v>
      </c>
      <c r="I18" s="83">
        <v>235467</v>
      </c>
      <c r="J18" s="82">
        <v>159.07</v>
      </c>
      <c r="K18" t="s">
        <v>1070</v>
      </c>
    </row>
    <row r="19" spans="1:11" customFormat="1">
      <c r="A19" s="109" t="str">
        <f>HYPERLINK("http://tw.stock.yahoo.com/q/ta?s=8266","8266")</f>
        <v>8266</v>
      </c>
      <c r="B19" s="109" t="str">
        <f>HYPERLINK("http://tw.stock.yahoo.com/d/s/earning_8266.html","中日新")</f>
        <v>中日新</v>
      </c>
      <c r="C19" s="83">
        <v>268890</v>
      </c>
      <c r="D19" s="83">
        <v>192483</v>
      </c>
      <c r="E19" s="83">
        <v>180331</v>
      </c>
      <c r="F19">
        <v>39.69</v>
      </c>
      <c r="G19">
        <v>49.1</v>
      </c>
      <c r="H19" s="83">
        <v>1939063</v>
      </c>
      <c r="I19" s="83">
        <v>774658</v>
      </c>
      <c r="J19" s="82">
        <v>150.31</v>
      </c>
      <c r="K19" t="s">
        <v>837</v>
      </c>
    </row>
    <row r="20" spans="1:11" customFormat="1" hidden="1">
      <c r="A20">
        <v>8917</v>
      </c>
      <c r="B20" t="s">
        <v>569</v>
      </c>
      <c r="C20" s="83">
        <v>101754</v>
      </c>
      <c r="D20" s="83">
        <v>110443</v>
      </c>
      <c r="E20" s="83">
        <v>137403</v>
      </c>
      <c r="F20">
        <v>-7.86</v>
      </c>
      <c r="G20">
        <v>-25.94</v>
      </c>
      <c r="H20" s="83">
        <v>1216203</v>
      </c>
      <c r="I20" s="83">
        <v>1515563</v>
      </c>
      <c r="J20">
        <v>-19.75</v>
      </c>
      <c r="K20" t="s">
        <v>627</v>
      </c>
    </row>
    <row r="21" spans="1:11" customFormat="1" hidden="1">
      <c r="A21">
        <v>8916</v>
      </c>
      <c r="B21" t="s">
        <v>568</v>
      </c>
      <c r="C21" s="83">
        <v>994831</v>
      </c>
      <c r="D21" s="83">
        <v>1088682</v>
      </c>
      <c r="E21" s="83">
        <v>810270</v>
      </c>
      <c r="F21">
        <v>-8.6199999999999992</v>
      </c>
      <c r="G21">
        <v>22.77</v>
      </c>
      <c r="H21" s="83">
        <v>6921451</v>
      </c>
      <c r="I21" s="83">
        <v>7288702</v>
      </c>
      <c r="J21">
        <v>-5.03</v>
      </c>
      <c r="K21" t="s">
        <v>627</v>
      </c>
    </row>
    <row r="22" spans="1:11" customFormat="1">
      <c r="A22" s="109" t="str">
        <f>HYPERLINK("http://tw.stock.yahoo.com/q/ta?s=6242","6242")</f>
        <v>6242</v>
      </c>
      <c r="B22" s="109" t="str">
        <f>HYPERLINK("http://tw.stock.yahoo.com/d/s/earning_6242.html","立康")</f>
        <v>立康</v>
      </c>
      <c r="C22" s="83">
        <v>31557</v>
      </c>
      <c r="D22" s="83">
        <v>29254</v>
      </c>
      <c r="E22" s="83">
        <v>19082</v>
      </c>
      <c r="F22">
        <v>7.87</v>
      </c>
      <c r="G22">
        <v>65.37</v>
      </c>
      <c r="H22" s="83">
        <v>333002</v>
      </c>
      <c r="I22" s="83">
        <v>144551</v>
      </c>
      <c r="J22" s="82">
        <v>130.36000000000001</v>
      </c>
      <c r="K22" t="s">
        <v>921</v>
      </c>
    </row>
    <row r="23" spans="1:11" customFormat="1" hidden="1">
      <c r="A23">
        <v>8908</v>
      </c>
      <c r="B23" t="s">
        <v>566</v>
      </c>
      <c r="C23" s="83">
        <v>427390</v>
      </c>
      <c r="D23" s="83">
        <v>408944</v>
      </c>
      <c r="E23" s="83">
        <v>460327</v>
      </c>
      <c r="F23">
        <v>4.51</v>
      </c>
      <c r="G23">
        <v>-7.15</v>
      </c>
      <c r="H23" s="83">
        <v>3971941</v>
      </c>
      <c r="I23" s="83">
        <v>4514490</v>
      </c>
      <c r="J23">
        <v>-12.01</v>
      </c>
      <c r="K23" t="s">
        <v>627</v>
      </c>
    </row>
    <row r="24" spans="1:11" customFormat="1">
      <c r="A24" s="109" t="str">
        <f>HYPERLINK("http://tw.stock.yahoo.com/q/ta?s=4415","4415")</f>
        <v>4415</v>
      </c>
      <c r="B24" s="109" t="str">
        <f>HYPERLINK("http://tw.stock.yahoo.com/d/s/earning_4415.html","台原藥")</f>
        <v>台原藥</v>
      </c>
      <c r="C24" s="83">
        <v>13879</v>
      </c>
      <c r="D24" s="83">
        <v>11663</v>
      </c>
      <c r="E24" s="83">
        <v>88</v>
      </c>
      <c r="F24">
        <v>19</v>
      </c>
      <c r="G24" s="114">
        <v>15671.59</v>
      </c>
      <c r="H24" s="83">
        <v>39077</v>
      </c>
      <c r="I24" s="83">
        <v>17370</v>
      </c>
      <c r="J24" s="82">
        <v>124.96</v>
      </c>
      <c r="K24" t="s">
        <v>982</v>
      </c>
    </row>
    <row r="25" spans="1:11" customFormat="1" hidden="1">
      <c r="A25">
        <v>8905</v>
      </c>
      <c r="B25" t="s">
        <v>1052</v>
      </c>
      <c r="C25" s="83">
        <v>196051</v>
      </c>
      <c r="D25" s="83">
        <v>174761</v>
      </c>
      <c r="E25" s="83">
        <v>502713</v>
      </c>
      <c r="F25">
        <v>12.18</v>
      </c>
      <c r="G25">
        <v>-61</v>
      </c>
      <c r="H25" s="83">
        <v>1530944</v>
      </c>
      <c r="I25" s="83">
        <v>2647969</v>
      </c>
      <c r="J25">
        <v>-42.18</v>
      </c>
      <c r="K25" t="s">
        <v>1053</v>
      </c>
    </row>
    <row r="26" spans="1:11" customFormat="1" hidden="1">
      <c r="A26">
        <v>8450</v>
      </c>
      <c r="B26" t="s">
        <v>565</v>
      </c>
      <c r="C26" s="83">
        <v>54172</v>
      </c>
      <c r="D26" s="83">
        <v>54761</v>
      </c>
      <c r="E26" s="83">
        <v>56835</v>
      </c>
      <c r="F26">
        <v>-1.07</v>
      </c>
      <c r="G26">
        <v>-4.68</v>
      </c>
      <c r="H26" s="83">
        <v>479999</v>
      </c>
      <c r="I26" s="83">
        <v>502573</v>
      </c>
      <c r="J26">
        <v>-4.49</v>
      </c>
      <c r="K26" t="s">
        <v>627</v>
      </c>
    </row>
    <row r="27" spans="1:11" customFormat="1">
      <c r="A27" s="109" t="str">
        <f>HYPERLINK("http://tw.stock.yahoo.com/q/ta?s=6238","6238")</f>
        <v>6238</v>
      </c>
      <c r="B27" s="109" t="str">
        <f>HYPERLINK("http://tw.stock.yahoo.com/d/s/earning_6238.html","勝麗國際")</f>
        <v>勝麗國際</v>
      </c>
      <c r="C27" s="83">
        <v>242836</v>
      </c>
      <c r="D27" s="83">
        <v>213792</v>
      </c>
      <c r="E27" s="83">
        <v>75949</v>
      </c>
      <c r="F27">
        <v>13.58</v>
      </c>
      <c r="G27" s="82">
        <v>219.73</v>
      </c>
      <c r="H27" s="83">
        <v>1861065</v>
      </c>
      <c r="I27" s="83">
        <v>844139</v>
      </c>
      <c r="J27" s="82">
        <v>120.46</v>
      </c>
      <c r="K27" t="s">
        <v>991</v>
      </c>
    </row>
    <row r="28" spans="1:11" customFormat="1">
      <c r="A28" s="109" t="str">
        <f>HYPERLINK("http://tw.stock.yahoo.com/q/ta?s=6294","6294")</f>
        <v>6294</v>
      </c>
      <c r="B28" s="109" t="str">
        <f>HYPERLINK("http://tw.stock.yahoo.com/d/s/earning_6294.html","智基科技")</f>
        <v>智基科技</v>
      </c>
      <c r="C28" s="83">
        <v>47960</v>
      </c>
      <c r="D28" s="83">
        <v>45319</v>
      </c>
      <c r="E28" s="83">
        <v>44042</v>
      </c>
      <c r="F28">
        <v>5.82</v>
      </c>
      <c r="G28">
        <v>8.89</v>
      </c>
      <c r="H28" s="83">
        <v>515974</v>
      </c>
      <c r="I28" s="83">
        <v>282742</v>
      </c>
      <c r="J28" s="82">
        <v>82.48</v>
      </c>
      <c r="K28" t="s">
        <v>1049</v>
      </c>
    </row>
    <row r="29" spans="1:11" customFormat="1" hidden="1">
      <c r="A29">
        <v>3234</v>
      </c>
      <c r="B29" t="s">
        <v>346</v>
      </c>
      <c r="C29" s="83">
        <v>449009</v>
      </c>
      <c r="D29" s="83">
        <v>438626</v>
      </c>
      <c r="E29" s="83">
        <v>223670</v>
      </c>
      <c r="F29">
        <v>2.36</v>
      </c>
      <c r="G29">
        <v>100.74</v>
      </c>
      <c r="H29" s="83">
        <v>2955563</v>
      </c>
      <c r="I29" s="83">
        <v>1675484</v>
      </c>
      <c r="J29" s="82">
        <v>76.400000000000006</v>
      </c>
      <c r="K29" t="s">
        <v>842</v>
      </c>
    </row>
    <row r="30" spans="1:11" customFormat="1" hidden="1">
      <c r="A30">
        <v>3511</v>
      </c>
      <c r="B30" t="s">
        <v>884</v>
      </c>
      <c r="C30" s="83">
        <v>116186</v>
      </c>
      <c r="D30" s="83">
        <v>113918</v>
      </c>
      <c r="E30" s="83">
        <v>84190</v>
      </c>
      <c r="F30">
        <v>1.99</v>
      </c>
      <c r="G30">
        <v>38</v>
      </c>
      <c r="H30" s="83">
        <v>907598</v>
      </c>
      <c r="I30" s="83">
        <v>534783</v>
      </c>
      <c r="J30" s="82">
        <v>69.709999999999994</v>
      </c>
      <c r="K30" t="s">
        <v>885</v>
      </c>
    </row>
    <row r="31" spans="1:11" customFormat="1" hidden="1">
      <c r="A31">
        <v>8432</v>
      </c>
      <c r="B31" t="s">
        <v>562</v>
      </c>
      <c r="C31" s="83">
        <v>37614</v>
      </c>
      <c r="D31" s="83">
        <v>41512</v>
      </c>
      <c r="E31" s="83">
        <v>43235</v>
      </c>
      <c r="F31">
        <v>-9.39</v>
      </c>
      <c r="G31">
        <v>-13</v>
      </c>
      <c r="H31" s="83">
        <v>388983</v>
      </c>
      <c r="I31" s="83">
        <v>419907</v>
      </c>
      <c r="J31">
        <v>-7.36</v>
      </c>
      <c r="K31" t="s">
        <v>627</v>
      </c>
    </row>
    <row r="32" spans="1:11" customFormat="1" hidden="1">
      <c r="A32">
        <v>8431</v>
      </c>
      <c r="B32" t="s">
        <v>561</v>
      </c>
      <c r="C32" s="83">
        <v>54866</v>
      </c>
      <c r="D32" s="83">
        <v>51476</v>
      </c>
      <c r="E32" s="83">
        <v>81860</v>
      </c>
      <c r="F32">
        <v>6.58</v>
      </c>
      <c r="G32">
        <v>-32.97</v>
      </c>
      <c r="H32" s="83">
        <v>651434</v>
      </c>
      <c r="I32" s="83">
        <v>686182</v>
      </c>
      <c r="J32">
        <v>-5.0599999999999996</v>
      </c>
      <c r="K32" t="s">
        <v>627</v>
      </c>
    </row>
    <row r="33" spans="1:11" customFormat="1" hidden="1">
      <c r="A33">
        <v>8424</v>
      </c>
      <c r="B33" t="s">
        <v>560</v>
      </c>
      <c r="C33" s="83">
        <v>70416</v>
      </c>
      <c r="D33" s="83">
        <v>71333</v>
      </c>
      <c r="E33" s="83">
        <v>70042</v>
      </c>
      <c r="F33">
        <v>-1.28</v>
      </c>
      <c r="G33">
        <v>0.53</v>
      </c>
      <c r="H33" s="83">
        <v>630627</v>
      </c>
      <c r="I33" s="83">
        <v>645014</v>
      </c>
      <c r="J33">
        <v>-2.23</v>
      </c>
      <c r="K33" t="s">
        <v>627</v>
      </c>
    </row>
    <row r="34" spans="1:11" customFormat="1" hidden="1">
      <c r="A34">
        <v>8421</v>
      </c>
      <c r="B34" t="s">
        <v>559</v>
      </c>
      <c r="C34" s="83">
        <v>81813</v>
      </c>
      <c r="D34" s="83">
        <v>109604</v>
      </c>
      <c r="E34" s="83">
        <v>87015</v>
      </c>
      <c r="F34">
        <v>-25.35</v>
      </c>
      <c r="G34">
        <v>-5.97</v>
      </c>
      <c r="H34" s="83">
        <v>798066</v>
      </c>
      <c r="I34" s="83">
        <v>738750</v>
      </c>
      <c r="J34">
        <v>8.02</v>
      </c>
      <c r="K34" t="s">
        <v>627</v>
      </c>
    </row>
    <row r="35" spans="1:11" customFormat="1">
      <c r="A35" s="109" t="str">
        <f>HYPERLINK("http://tw.stock.yahoo.com/q/ta?s=3691","3691")</f>
        <v>3691</v>
      </c>
      <c r="B35" s="109" t="str">
        <f>HYPERLINK("http://tw.stock.yahoo.com/d/s/earning_3691.html","碩禾")</f>
        <v>碩禾</v>
      </c>
      <c r="C35" s="83">
        <v>1588666</v>
      </c>
      <c r="D35" s="83">
        <v>1481103</v>
      </c>
      <c r="E35" s="83">
        <v>861846</v>
      </c>
      <c r="F35">
        <v>7.26</v>
      </c>
      <c r="G35">
        <v>84.33</v>
      </c>
      <c r="H35" s="83">
        <v>10873810</v>
      </c>
      <c r="I35" s="83">
        <v>6673446</v>
      </c>
      <c r="J35">
        <v>62.94</v>
      </c>
      <c r="K35" t="s">
        <v>816</v>
      </c>
    </row>
    <row r="36" spans="1:11" customFormat="1" hidden="1">
      <c r="A36">
        <v>8416</v>
      </c>
      <c r="B36" t="s">
        <v>557</v>
      </c>
      <c r="C36" s="83">
        <v>56926</v>
      </c>
      <c r="D36" s="83">
        <v>60514</v>
      </c>
      <c r="E36" s="83">
        <v>75355</v>
      </c>
      <c r="F36">
        <v>-5.92</v>
      </c>
      <c r="G36">
        <v>-24.45</v>
      </c>
      <c r="H36" s="83">
        <v>566877</v>
      </c>
      <c r="I36" s="83">
        <v>557316</v>
      </c>
      <c r="J36">
        <v>1.71</v>
      </c>
      <c r="K36" t="s">
        <v>627</v>
      </c>
    </row>
    <row r="37" spans="1:11" customFormat="1" hidden="1">
      <c r="A37">
        <v>8410</v>
      </c>
      <c r="B37" t="s">
        <v>556</v>
      </c>
      <c r="C37" s="83">
        <v>67368</v>
      </c>
      <c r="D37" s="83">
        <v>51446</v>
      </c>
      <c r="E37" s="83">
        <v>79740</v>
      </c>
      <c r="F37">
        <v>30.94</v>
      </c>
      <c r="G37">
        <v>-15.51</v>
      </c>
      <c r="H37" s="83">
        <v>447311</v>
      </c>
      <c r="I37" s="83">
        <v>719115</v>
      </c>
      <c r="J37">
        <v>-37.79</v>
      </c>
      <c r="K37" t="s">
        <v>627</v>
      </c>
    </row>
    <row r="38" spans="1:11" customFormat="1" hidden="1">
      <c r="A38">
        <v>4502</v>
      </c>
      <c r="B38" t="s">
        <v>647</v>
      </c>
      <c r="C38" s="83">
        <v>161949</v>
      </c>
      <c r="D38" s="83">
        <v>157008</v>
      </c>
      <c r="E38" s="83">
        <v>77567</v>
      </c>
      <c r="F38">
        <v>3.14</v>
      </c>
      <c r="G38">
        <v>108.78</v>
      </c>
      <c r="H38" s="83">
        <v>1038793</v>
      </c>
      <c r="I38" s="83">
        <v>637883</v>
      </c>
      <c r="J38">
        <v>62.85</v>
      </c>
      <c r="K38" t="s">
        <v>648</v>
      </c>
    </row>
    <row r="39" spans="1:11" customFormat="1" hidden="1">
      <c r="A39">
        <v>8403</v>
      </c>
      <c r="B39" t="s">
        <v>713</v>
      </c>
      <c r="C39" s="83">
        <v>170528</v>
      </c>
      <c r="D39" s="83">
        <v>167303</v>
      </c>
      <c r="E39" s="83">
        <v>173382</v>
      </c>
      <c r="F39">
        <v>1.92</v>
      </c>
      <c r="G39">
        <v>-1.64</v>
      </c>
      <c r="H39" s="83">
        <v>1552521</v>
      </c>
      <c r="I39" s="83">
        <v>1468774</v>
      </c>
      <c r="J39">
        <v>5.7</v>
      </c>
      <c r="K39" t="s">
        <v>627</v>
      </c>
    </row>
    <row r="40" spans="1:11" customFormat="1" hidden="1">
      <c r="A40">
        <v>8401</v>
      </c>
      <c r="B40" t="s">
        <v>1051</v>
      </c>
      <c r="C40" s="83">
        <v>103550</v>
      </c>
      <c r="D40" s="83">
        <v>102576</v>
      </c>
      <c r="E40" s="83">
        <v>117993</v>
      </c>
      <c r="F40">
        <v>0.94</v>
      </c>
      <c r="G40">
        <v>-12.24</v>
      </c>
      <c r="H40" s="83">
        <v>967078</v>
      </c>
      <c r="I40" s="83">
        <v>982023</v>
      </c>
      <c r="J40">
        <v>-1.52</v>
      </c>
      <c r="K40" t="s">
        <v>627</v>
      </c>
    </row>
    <row r="41" spans="1:11" customFormat="1">
      <c r="A41" s="109" t="str">
        <f>HYPERLINK("http://tw.stock.yahoo.com/q/ta?s=5474","5474")</f>
        <v>5474</v>
      </c>
      <c r="B41" s="109" t="str">
        <f>HYPERLINK("http://tw.stock.yahoo.com/d/s/earning_5474.html","聰泰科技")</f>
        <v>聰泰科技</v>
      </c>
      <c r="C41" s="83">
        <v>117886</v>
      </c>
      <c r="D41" s="83">
        <v>93710</v>
      </c>
      <c r="E41" s="83">
        <v>56726</v>
      </c>
      <c r="F41">
        <v>25.79</v>
      </c>
      <c r="G41">
        <v>107.81</v>
      </c>
      <c r="H41" s="83">
        <v>777188</v>
      </c>
      <c r="I41" s="83">
        <v>479106</v>
      </c>
      <c r="J41">
        <v>62.21</v>
      </c>
      <c r="K41" t="s">
        <v>786</v>
      </c>
    </row>
    <row r="42" spans="1:11" customFormat="1">
      <c r="A42" s="109" t="str">
        <f>HYPERLINK("http://tw.stock.yahoo.com/q/ta?s=8933","8933")</f>
        <v>8933</v>
      </c>
      <c r="B42" s="109" t="str">
        <f>HYPERLINK("http://tw.stock.yahoo.com/d/s/earning_8933.html","愛地雅")</f>
        <v>愛地雅</v>
      </c>
      <c r="C42" s="83">
        <v>689105</v>
      </c>
      <c r="D42" s="83">
        <v>504451</v>
      </c>
      <c r="E42" s="83">
        <v>342774</v>
      </c>
      <c r="F42">
        <v>36.6</v>
      </c>
      <c r="G42">
        <v>101.03</v>
      </c>
      <c r="H42" s="83">
        <v>4457547</v>
      </c>
      <c r="I42" s="83">
        <v>2892355</v>
      </c>
      <c r="J42">
        <v>54.11</v>
      </c>
      <c r="K42" t="s">
        <v>1059</v>
      </c>
    </row>
    <row r="43" spans="1:11" customFormat="1" hidden="1">
      <c r="A43">
        <v>8349</v>
      </c>
      <c r="B43" t="s">
        <v>721</v>
      </c>
      <c r="C43" s="83">
        <v>793600</v>
      </c>
      <c r="D43" s="83">
        <v>715795</v>
      </c>
      <c r="E43" s="83">
        <v>854630</v>
      </c>
      <c r="F43">
        <v>10.86</v>
      </c>
      <c r="G43">
        <v>-7.14</v>
      </c>
      <c r="H43" s="83">
        <v>7205408</v>
      </c>
      <c r="I43" s="83">
        <v>4266582</v>
      </c>
      <c r="J43">
        <v>68.88</v>
      </c>
      <c r="K43" t="s">
        <v>722</v>
      </c>
    </row>
    <row r="44" spans="1:11" customFormat="1">
      <c r="A44" s="109" t="str">
        <f>HYPERLINK("http://tw.stock.yahoo.com/q/ta?s=8409","8409")</f>
        <v>8409</v>
      </c>
      <c r="B44" s="109" t="str">
        <f>HYPERLINK("http://tw.stock.yahoo.com/d/s/earning_8409.html","商之器")</f>
        <v>商之器</v>
      </c>
      <c r="C44" s="83">
        <v>38733</v>
      </c>
      <c r="D44" s="83">
        <v>14539</v>
      </c>
      <c r="E44" s="83">
        <v>12704</v>
      </c>
      <c r="F44" s="82">
        <v>166.4</v>
      </c>
      <c r="G44" s="82">
        <v>204.88</v>
      </c>
      <c r="H44" s="83">
        <v>167850</v>
      </c>
      <c r="I44" s="83">
        <v>109240</v>
      </c>
      <c r="J44">
        <v>53.65</v>
      </c>
      <c r="K44" t="s">
        <v>714</v>
      </c>
    </row>
    <row r="45" spans="1:11" customFormat="1" hidden="1">
      <c r="A45">
        <v>8291</v>
      </c>
      <c r="B45" t="s">
        <v>940</v>
      </c>
      <c r="C45" s="83">
        <v>41665</v>
      </c>
      <c r="D45" s="83">
        <v>36857</v>
      </c>
      <c r="E45" s="83">
        <v>47707</v>
      </c>
      <c r="F45">
        <v>13.04</v>
      </c>
      <c r="G45">
        <v>-12.66</v>
      </c>
      <c r="H45" s="83">
        <v>395583</v>
      </c>
      <c r="I45" s="83">
        <v>456718</v>
      </c>
      <c r="J45">
        <v>-13.38</v>
      </c>
      <c r="K45" t="s">
        <v>627</v>
      </c>
    </row>
    <row r="46" spans="1:11" customFormat="1">
      <c r="A46" s="109" t="str">
        <f>HYPERLINK("http://tw.stock.yahoo.com/q/ta?s=3564","3564")</f>
        <v>3564</v>
      </c>
      <c r="B46" s="109" t="str">
        <f>HYPERLINK("http://tw.stock.yahoo.com/d/s/earning_3564.html","其陽")</f>
        <v>其陽</v>
      </c>
      <c r="C46" s="83">
        <v>111085</v>
      </c>
      <c r="D46" s="83">
        <v>101681</v>
      </c>
      <c r="E46" s="83">
        <v>95943</v>
      </c>
      <c r="F46">
        <v>9.24</v>
      </c>
      <c r="G46">
        <v>15.78</v>
      </c>
      <c r="H46" s="83">
        <v>1001093</v>
      </c>
      <c r="I46" s="83">
        <v>660895</v>
      </c>
      <c r="J46">
        <v>51.47</v>
      </c>
      <c r="K46" t="s">
        <v>847</v>
      </c>
    </row>
    <row r="47" spans="1:11" customFormat="1" hidden="1">
      <c r="A47">
        <v>3081</v>
      </c>
      <c r="B47" t="s">
        <v>838</v>
      </c>
      <c r="C47" s="83">
        <v>191659</v>
      </c>
      <c r="D47" s="83">
        <v>187395</v>
      </c>
      <c r="E47" s="83">
        <v>112244</v>
      </c>
      <c r="F47">
        <v>2.27</v>
      </c>
      <c r="G47" s="82">
        <v>70.75</v>
      </c>
      <c r="H47" s="83">
        <v>1406895</v>
      </c>
      <c r="I47" s="83">
        <v>941066</v>
      </c>
      <c r="J47">
        <v>49.5</v>
      </c>
      <c r="K47" t="s">
        <v>839</v>
      </c>
    </row>
    <row r="48" spans="1:11" customFormat="1" hidden="1">
      <c r="A48">
        <v>8277</v>
      </c>
      <c r="B48" t="s">
        <v>765</v>
      </c>
      <c r="C48" s="83">
        <v>36587</v>
      </c>
      <c r="D48" s="83">
        <v>53592</v>
      </c>
      <c r="E48" s="83">
        <v>90742</v>
      </c>
      <c r="F48">
        <v>-31.73</v>
      </c>
      <c r="G48">
        <v>-59.68</v>
      </c>
      <c r="H48" s="83">
        <v>414907</v>
      </c>
      <c r="I48" s="83">
        <v>1184154</v>
      </c>
      <c r="J48">
        <v>-64.959999999999994</v>
      </c>
      <c r="K48" t="s">
        <v>766</v>
      </c>
    </row>
    <row r="49" spans="1:11" customFormat="1" hidden="1">
      <c r="A49">
        <v>8436</v>
      </c>
      <c r="B49" t="s">
        <v>715</v>
      </c>
      <c r="C49" s="83">
        <v>192961</v>
      </c>
      <c r="D49" s="83">
        <v>187380</v>
      </c>
      <c r="E49" s="83">
        <v>130980</v>
      </c>
      <c r="F49">
        <v>2.97</v>
      </c>
      <c r="G49">
        <v>47.32</v>
      </c>
      <c r="H49" s="83">
        <v>1467935</v>
      </c>
      <c r="I49" s="83">
        <v>1042535</v>
      </c>
      <c r="J49">
        <v>40.799999999999997</v>
      </c>
      <c r="K49" t="s">
        <v>627</v>
      </c>
    </row>
    <row r="50" spans="1:11" customFormat="1" hidden="1">
      <c r="A50">
        <v>8255</v>
      </c>
      <c r="B50" t="s">
        <v>659</v>
      </c>
      <c r="C50" s="83">
        <v>276975</v>
      </c>
      <c r="D50" s="83">
        <v>245375</v>
      </c>
      <c r="E50" s="83">
        <v>285897</v>
      </c>
      <c r="F50">
        <v>12.87</v>
      </c>
      <c r="G50">
        <v>-3.12</v>
      </c>
      <c r="H50" s="83">
        <v>2642432</v>
      </c>
      <c r="I50" s="83">
        <v>2644769</v>
      </c>
      <c r="J50">
        <v>-0.08</v>
      </c>
      <c r="K50" t="s">
        <v>627</v>
      </c>
    </row>
    <row r="51" spans="1:11" customFormat="1" hidden="1">
      <c r="A51">
        <v>8234</v>
      </c>
      <c r="B51" t="s">
        <v>554</v>
      </c>
      <c r="C51" s="83">
        <v>446593</v>
      </c>
      <c r="D51" s="83">
        <v>412050</v>
      </c>
      <c r="E51" s="83">
        <v>485704</v>
      </c>
      <c r="F51">
        <v>8.3800000000000008</v>
      </c>
      <c r="G51">
        <v>-8.0500000000000007</v>
      </c>
      <c r="H51" s="83">
        <v>3955359</v>
      </c>
      <c r="I51" s="83">
        <v>3942381</v>
      </c>
      <c r="J51">
        <v>0.32</v>
      </c>
      <c r="K51" t="s">
        <v>627</v>
      </c>
    </row>
    <row r="52" spans="1:11" customFormat="1" hidden="1">
      <c r="A52">
        <v>8183</v>
      </c>
      <c r="B52" t="s">
        <v>995</v>
      </c>
      <c r="C52" s="83">
        <v>240609</v>
      </c>
      <c r="D52" s="83">
        <v>220494</v>
      </c>
      <c r="E52" s="83">
        <v>320653</v>
      </c>
      <c r="F52">
        <v>9.1199999999999992</v>
      </c>
      <c r="G52">
        <v>-24.96</v>
      </c>
      <c r="H52" s="83">
        <v>1859569</v>
      </c>
      <c r="I52" s="83">
        <v>2388520</v>
      </c>
      <c r="J52">
        <v>-22.14</v>
      </c>
      <c r="K52" t="s">
        <v>627</v>
      </c>
    </row>
    <row r="53" spans="1:11" customFormat="1" hidden="1">
      <c r="A53">
        <v>8182</v>
      </c>
      <c r="B53" t="s">
        <v>937</v>
      </c>
      <c r="C53" s="83">
        <v>254898</v>
      </c>
      <c r="D53" s="83">
        <v>229798</v>
      </c>
      <c r="E53" s="83">
        <v>276987</v>
      </c>
      <c r="F53">
        <v>10.92</v>
      </c>
      <c r="G53">
        <v>-7.97</v>
      </c>
      <c r="H53" s="83">
        <v>2025200</v>
      </c>
      <c r="I53" s="83">
        <v>2135681</v>
      </c>
      <c r="J53">
        <v>-5.17</v>
      </c>
      <c r="K53" t="s">
        <v>627</v>
      </c>
    </row>
    <row r="54" spans="1:11" customFormat="1" hidden="1">
      <c r="A54">
        <v>8171</v>
      </c>
      <c r="B54" t="s">
        <v>868</v>
      </c>
      <c r="C54" s="83">
        <v>216658</v>
      </c>
      <c r="D54" s="83">
        <v>177533</v>
      </c>
      <c r="E54" s="83">
        <v>252483</v>
      </c>
      <c r="F54">
        <v>22.03</v>
      </c>
      <c r="G54">
        <v>-14.18</v>
      </c>
      <c r="H54" s="83">
        <v>1719763</v>
      </c>
      <c r="I54" s="83">
        <v>2450562</v>
      </c>
      <c r="J54">
        <v>-29.82</v>
      </c>
      <c r="K54" t="s">
        <v>627</v>
      </c>
    </row>
    <row r="55" spans="1:11" customFormat="1" hidden="1">
      <c r="A55">
        <v>8155</v>
      </c>
      <c r="B55" t="s">
        <v>936</v>
      </c>
      <c r="C55" s="83">
        <v>111950</v>
      </c>
      <c r="D55" s="83">
        <v>112846</v>
      </c>
      <c r="E55" s="83">
        <v>143797</v>
      </c>
      <c r="F55">
        <v>-0.79</v>
      </c>
      <c r="G55">
        <v>-22.14</v>
      </c>
      <c r="H55" s="83">
        <v>1160520</v>
      </c>
      <c r="I55" s="83">
        <v>1314308</v>
      </c>
      <c r="J55">
        <v>-11.7</v>
      </c>
      <c r="K55" t="s">
        <v>627</v>
      </c>
    </row>
    <row r="56" spans="1:11" customFormat="1" hidden="1">
      <c r="A56">
        <v>4735</v>
      </c>
      <c r="B56" t="s">
        <v>709</v>
      </c>
      <c r="C56" s="83">
        <v>90902</v>
      </c>
      <c r="D56" s="83">
        <v>88719</v>
      </c>
      <c r="E56" s="83">
        <v>75838</v>
      </c>
      <c r="F56">
        <v>2.46</v>
      </c>
      <c r="G56">
        <v>19.86</v>
      </c>
      <c r="H56" s="83">
        <v>720424</v>
      </c>
      <c r="I56" s="83">
        <v>512117</v>
      </c>
      <c r="J56">
        <v>40.67</v>
      </c>
      <c r="K56" t="s">
        <v>627</v>
      </c>
    </row>
    <row r="57" spans="1:11" customFormat="1" hidden="1">
      <c r="A57">
        <v>8121</v>
      </c>
      <c r="B57" t="s">
        <v>934</v>
      </c>
      <c r="C57" s="83">
        <v>193747</v>
      </c>
      <c r="D57" s="83">
        <v>206033</v>
      </c>
      <c r="E57" s="83">
        <v>228766</v>
      </c>
      <c r="F57">
        <v>-5.96</v>
      </c>
      <c r="G57">
        <v>-15.3</v>
      </c>
      <c r="H57" s="83">
        <v>1842089</v>
      </c>
      <c r="I57" s="83">
        <v>2131710</v>
      </c>
      <c r="J57">
        <v>-13.58</v>
      </c>
      <c r="K57" t="s">
        <v>627</v>
      </c>
    </row>
    <row r="58" spans="1:11" customFormat="1" hidden="1">
      <c r="A58">
        <v>8111</v>
      </c>
      <c r="B58" t="s">
        <v>836</v>
      </c>
      <c r="C58" s="83">
        <v>60872</v>
      </c>
      <c r="D58" s="83">
        <v>58090</v>
      </c>
      <c r="E58" s="83">
        <v>93729</v>
      </c>
      <c r="F58">
        <v>4.78</v>
      </c>
      <c r="G58">
        <v>-35.049999999999997</v>
      </c>
      <c r="H58" s="83">
        <v>606670</v>
      </c>
      <c r="I58" s="83">
        <v>716294</v>
      </c>
      <c r="J58">
        <v>-15.3</v>
      </c>
      <c r="K58" t="s">
        <v>627</v>
      </c>
    </row>
    <row r="59" spans="1:11" customFormat="1">
      <c r="A59" s="109" t="str">
        <f>HYPERLINK("http://tw.stock.yahoo.com/q/ta?s=1785","1785")</f>
        <v>1785</v>
      </c>
      <c r="B59" s="109" t="str">
        <f>HYPERLINK("http://tw.stock.yahoo.com/d/s/earning_1785.html","光洋科")</f>
        <v>光洋科</v>
      </c>
      <c r="C59" s="83">
        <v>5752873</v>
      </c>
      <c r="D59" s="83">
        <v>4439235</v>
      </c>
      <c r="E59" s="83">
        <v>3609216</v>
      </c>
      <c r="F59">
        <v>29.59</v>
      </c>
      <c r="G59">
        <v>59.39</v>
      </c>
      <c r="H59" s="83">
        <v>51184934</v>
      </c>
      <c r="I59" s="83">
        <v>36955014</v>
      </c>
      <c r="J59">
        <v>38.5</v>
      </c>
      <c r="K59" t="s">
        <v>969</v>
      </c>
    </row>
    <row r="60" spans="1:11" customFormat="1" hidden="1">
      <c r="A60">
        <v>8107</v>
      </c>
      <c r="B60" t="s">
        <v>553</v>
      </c>
      <c r="C60" s="83">
        <v>85064</v>
      </c>
      <c r="D60" s="83">
        <v>79575</v>
      </c>
      <c r="E60" s="83">
        <v>119282</v>
      </c>
      <c r="F60">
        <v>6.89</v>
      </c>
      <c r="G60">
        <v>-28.68</v>
      </c>
      <c r="H60" s="83">
        <v>706225</v>
      </c>
      <c r="I60" s="83">
        <v>2122677</v>
      </c>
      <c r="J60">
        <v>-66.72</v>
      </c>
      <c r="K60" t="s">
        <v>835</v>
      </c>
    </row>
    <row r="61" spans="1:11" customFormat="1" hidden="1">
      <c r="A61">
        <v>8099</v>
      </c>
      <c r="B61" t="s">
        <v>968</v>
      </c>
      <c r="C61" s="83">
        <v>255154</v>
      </c>
      <c r="D61" s="83">
        <v>264097</v>
      </c>
      <c r="E61" s="83">
        <v>290664</v>
      </c>
      <c r="F61">
        <v>-3.38</v>
      </c>
      <c r="G61">
        <v>-12.21</v>
      </c>
      <c r="H61" s="83">
        <v>2532355</v>
      </c>
      <c r="I61" s="83">
        <v>2465923</v>
      </c>
      <c r="J61">
        <v>2.69</v>
      </c>
      <c r="K61" t="s">
        <v>627</v>
      </c>
    </row>
    <row r="62" spans="1:11" customFormat="1" hidden="1">
      <c r="A62">
        <v>8097</v>
      </c>
      <c r="B62" t="s">
        <v>866</v>
      </c>
      <c r="C62" s="83">
        <v>6138</v>
      </c>
      <c r="D62" s="83">
        <v>3474</v>
      </c>
      <c r="E62" s="83">
        <v>3500</v>
      </c>
      <c r="F62">
        <v>76.680000000000007</v>
      </c>
      <c r="G62">
        <v>75.37</v>
      </c>
      <c r="H62" s="83">
        <v>48386</v>
      </c>
      <c r="I62" s="83">
        <v>58169</v>
      </c>
      <c r="J62">
        <v>-16.809999999999999</v>
      </c>
      <c r="K62" t="s">
        <v>867</v>
      </c>
    </row>
    <row r="63" spans="1:11" customFormat="1">
      <c r="A63" s="109" t="str">
        <f>HYPERLINK("http://tw.stock.yahoo.com/q/ta?s=3684","3684")</f>
        <v>3684</v>
      </c>
      <c r="B63" s="109" t="str">
        <f>HYPERLINK("http://tw.stock.yahoo.com/d/s/earning_3684.html","榮昌")</f>
        <v>榮昌</v>
      </c>
      <c r="C63" s="83">
        <v>63882</v>
      </c>
      <c r="D63" s="83">
        <v>57356</v>
      </c>
      <c r="E63" s="83">
        <v>50037</v>
      </c>
      <c r="F63">
        <v>11.37</v>
      </c>
      <c r="G63">
        <v>27.66</v>
      </c>
      <c r="H63" s="83">
        <v>510164</v>
      </c>
      <c r="I63" s="83">
        <v>369527</v>
      </c>
      <c r="J63">
        <v>38.049999999999997</v>
      </c>
      <c r="K63" t="s">
        <v>627</v>
      </c>
    </row>
    <row r="64" spans="1:11" customFormat="1" hidden="1">
      <c r="A64">
        <v>8093</v>
      </c>
      <c r="B64" t="s">
        <v>932</v>
      </c>
      <c r="C64" s="83">
        <v>46177</v>
      </c>
      <c r="D64" s="83">
        <v>46717</v>
      </c>
      <c r="E64" s="83">
        <v>49556</v>
      </c>
      <c r="F64">
        <v>-1.1499999999999999</v>
      </c>
      <c r="G64">
        <v>-6.81</v>
      </c>
      <c r="H64" s="83">
        <v>392494</v>
      </c>
      <c r="I64" s="83">
        <v>596105</v>
      </c>
      <c r="J64">
        <v>-34.15</v>
      </c>
      <c r="K64" t="s">
        <v>627</v>
      </c>
    </row>
    <row r="65" spans="1:11" customFormat="1" hidden="1">
      <c r="A65">
        <v>8092</v>
      </c>
      <c r="B65" t="s">
        <v>994</v>
      </c>
      <c r="C65" s="83">
        <v>20753</v>
      </c>
      <c r="D65" s="83">
        <v>31685</v>
      </c>
      <c r="E65" s="83">
        <v>35516</v>
      </c>
      <c r="F65">
        <v>-34.5</v>
      </c>
      <c r="G65">
        <v>-41.56</v>
      </c>
      <c r="H65" s="83">
        <v>308072</v>
      </c>
      <c r="I65" s="83">
        <v>305202</v>
      </c>
      <c r="J65">
        <v>0.94</v>
      </c>
      <c r="K65" t="s">
        <v>627</v>
      </c>
    </row>
    <row r="66" spans="1:11" customFormat="1">
      <c r="A66" s="109" t="str">
        <f>HYPERLINK("http://tw.stock.yahoo.com/q/ta?s=5443","5443")</f>
        <v>5443</v>
      </c>
      <c r="B66" s="109" t="str">
        <f>HYPERLINK("http://tw.stock.yahoo.com/d/s/earning_5443.html","均豪精密")</f>
        <v>均豪精密</v>
      </c>
      <c r="C66" s="83">
        <v>389635</v>
      </c>
      <c r="D66" s="83">
        <v>321507</v>
      </c>
      <c r="E66" s="83">
        <v>343035</v>
      </c>
      <c r="F66">
        <v>21.19</v>
      </c>
      <c r="G66">
        <v>13.58</v>
      </c>
      <c r="H66" s="83">
        <v>2693014</v>
      </c>
      <c r="I66" s="83">
        <v>1998284</v>
      </c>
      <c r="J66">
        <v>34.76</v>
      </c>
      <c r="K66" t="s">
        <v>627</v>
      </c>
    </row>
    <row r="67" spans="1:11" customFormat="1" hidden="1">
      <c r="A67">
        <v>8088</v>
      </c>
      <c r="B67" t="s">
        <v>552</v>
      </c>
      <c r="C67" s="83">
        <v>207726</v>
      </c>
      <c r="D67" s="83">
        <v>166410</v>
      </c>
      <c r="E67" s="83">
        <v>292248</v>
      </c>
      <c r="F67">
        <v>24.82</v>
      </c>
      <c r="G67">
        <v>-28.92</v>
      </c>
      <c r="H67" s="83">
        <v>1486684</v>
      </c>
      <c r="I67" s="83">
        <v>2297563</v>
      </c>
      <c r="J67">
        <v>-35.29</v>
      </c>
      <c r="K67" t="s">
        <v>627</v>
      </c>
    </row>
    <row r="68" spans="1:11" customFormat="1" hidden="1">
      <c r="A68">
        <v>8087</v>
      </c>
      <c r="B68" t="s">
        <v>551</v>
      </c>
      <c r="C68" s="83">
        <v>11468</v>
      </c>
      <c r="D68" s="83">
        <v>14473</v>
      </c>
      <c r="E68" s="83">
        <v>10682</v>
      </c>
      <c r="F68">
        <v>-20.76</v>
      </c>
      <c r="G68">
        <v>7.35</v>
      </c>
      <c r="H68" s="83">
        <v>110633</v>
      </c>
      <c r="I68" s="83">
        <v>115241</v>
      </c>
      <c r="J68">
        <v>-3.99</v>
      </c>
      <c r="K68" t="s">
        <v>627</v>
      </c>
    </row>
    <row r="69" spans="1:11" customFormat="1" hidden="1">
      <c r="A69">
        <v>3152</v>
      </c>
      <c r="B69" t="s">
        <v>840</v>
      </c>
      <c r="C69" s="83">
        <v>166436</v>
      </c>
      <c r="D69" s="83">
        <v>159683</v>
      </c>
      <c r="E69" s="83">
        <v>113123</v>
      </c>
      <c r="F69">
        <v>4.22</v>
      </c>
      <c r="G69">
        <v>47.12</v>
      </c>
      <c r="H69" s="83">
        <v>1253874</v>
      </c>
      <c r="I69" s="83">
        <v>944051</v>
      </c>
      <c r="J69">
        <v>32.81</v>
      </c>
      <c r="K69" t="s">
        <v>627</v>
      </c>
    </row>
    <row r="70" spans="1:11" customFormat="1" hidden="1">
      <c r="A70">
        <v>8085</v>
      </c>
      <c r="B70" t="s">
        <v>550</v>
      </c>
      <c r="C70" s="83">
        <v>184793</v>
      </c>
      <c r="D70" s="83">
        <v>152115</v>
      </c>
      <c r="E70" s="83">
        <v>155186</v>
      </c>
      <c r="F70">
        <v>21.48</v>
      </c>
      <c r="G70">
        <v>19.07</v>
      </c>
      <c r="H70" s="83">
        <v>1387412</v>
      </c>
      <c r="I70" s="83">
        <v>1693681</v>
      </c>
      <c r="J70">
        <v>-18.079999999999998</v>
      </c>
      <c r="K70" t="s">
        <v>627</v>
      </c>
    </row>
    <row r="71" spans="1:11" customFormat="1" hidden="1">
      <c r="A71">
        <v>8084</v>
      </c>
      <c r="B71" t="s">
        <v>955</v>
      </c>
      <c r="C71" s="83">
        <v>187141</v>
      </c>
      <c r="D71" s="83">
        <v>189355</v>
      </c>
      <c r="E71" s="83">
        <v>148621</v>
      </c>
      <c r="F71">
        <v>-1.1599999999999999</v>
      </c>
      <c r="G71">
        <v>25.91</v>
      </c>
      <c r="H71" s="83">
        <v>1529239</v>
      </c>
      <c r="I71" s="83">
        <v>1738203</v>
      </c>
      <c r="J71">
        <v>-12.02</v>
      </c>
      <c r="K71" t="s">
        <v>627</v>
      </c>
    </row>
    <row r="72" spans="1:11" customFormat="1" hidden="1">
      <c r="A72">
        <v>8083</v>
      </c>
      <c r="B72" t="s">
        <v>549</v>
      </c>
      <c r="C72" s="83">
        <v>102986</v>
      </c>
      <c r="D72" s="83">
        <v>106074</v>
      </c>
      <c r="E72" s="83">
        <v>111771</v>
      </c>
      <c r="F72">
        <v>-2.91</v>
      </c>
      <c r="G72">
        <v>-7.85</v>
      </c>
      <c r="H72" s="83">
        <v>991940</v>
      </c>
      <c r="I72" s="83">
        <v>971689</v>
      </c>
      <c r="J72">
        <v>2.08</v>
      </c>
      <c r="K72" t="s">
        <v>627</v>
      </c>
    </row>
    <row r="73" spans="1:11" customFormat="1" hidden="1">
      <c r="A73">
        <v>8082</v>
      </c>
      <c r="B73" t="s">
        <v>548</v>
      </c>
      <c r="C73" s="83">
        <v>0</v>
      </c>
      <c r="D73" s="83">
        <v>0</v>
      </c>
      <c r="E73" s="83">
        <v>238</v>
      </c>
      <c r="G73">
        <v>-100</v>
      </c>
      <c r="H73" s="83">
        <v>3738</v>
      </c>
      <c r="I73" s="83">
        <v>16916</v>
      </c>
      <c r="J73">
        <v>-77.900000000000006</v>
      </c>
      <c r="K73" t="s">
        <v>865</v>
      </c>
    </row>
    <row r="74" spans="1:11" customFormat="1" hidden="1">
      <c r="A74">
        <v>8080</v>
      </c>
      <c r="B74" t="s">
        <v>547</v>
      </c>
      <c r="C74" s="83">
        <v>44786</v>
      </c>
      <c r="D74" s="83">
        <v>37388</v>
      </c>
      <c r="E74" s="83">
        <v>51431</v>
      </c>
      <c r="F74">
        <v>19.78</v>
      </c>
      <c r="G74">
        <v>-12.92</v>
      </c>
      <c r="H74" s="83">
        <v>359979</v>
      </c>
      <c r="I74" s="83">
        <v>563748</v>
      </c>
      <c r="J74">
        <v>-36.14</v>
      </c>
      <c r="K74" t="s">
        <v>627</v>
      </c>
    </row>
    <row r="75" spans="1:11" customFormat="1" hidden="1">
      <c r="A75">
        <v>8079</v>
      </c>
      <c r="B75" t="s">
        <v>762</v>
      </c>
      <c r="C75" s="83">
        <v>42660</v>
      </c>
      <c r="D75" s="83">
        <v>43984</v>
      </c>
      <c r="E75" s="83">
        <v>47670</v>
      </c>
      <c r="F75">
        <v>-3.01</v>
      </c>
      <c r="G75">
        <v>-10.5</v>
      </c>
      <c r="H75" s="83">
        <v>370998</v>
      </c>
      <c r="I75" s="83">
        <v>409118</v>
      </c>
      <c r="J75">
        <v>-9.31</v>
      </c>
      <c r="K75" t="s">
        <v>627</v>
      </c>
    </row>
    <row r="76" spans="1:11" customFormat="1">
      <c r="A76" s="109" t="str">
        <f>HYPERLINK("http://tw.stock.yahoo.com/q/ta?s=3512","3512")</f>
        <v>3512</v>
      </c>
      <c r="B76" s="109" t="str">
        <f>HYPERLINK("http://tw.stock.yahoo.com/d/s/earning_3512.html","能緹")</f>
        <v>能緹</v>
      </c>
      <c r="C76" s="83">
        <v>137636</v>
      </c>
      <c r="D76" s="83">
        <v>83441</v>
      </c>
      <c r="E76" s="83">
        <v>48718</v>
      </c>
      <c r="F76" s="82">
        <v>64.95</v>
      </c>
      <c r="G76" s="82">
        <v>182.51</v>
      </c>
      <c r="H76" s="83">
        <v>574402</v>
      </c>
      <c r="I76" s="83">
        <v>443923</v>
      </c>
      <c r="J76">
        <v>29.39</v>
      </c>
      <c r="K76" t="s">
        <v>886</v>
      </c>
    </row>
    <row r="77" spans="1:11" customFormat="1">
      <c r="A77" s="109" t="str">
        <f>HYPERLINK("http://tw.stock.yahoo.com/q/ta?s=6233","6233")</f>
        <v>6233</v>
      </c>
      <c r="B77" s="109" t="str">
        <f>HYPERLINK("http://tw.stock.yahoo.com/d/s/earning_6233.html","旺玖科技")</f>
        <v>旺玖科技</v>
      </c>
      <c r="C77" s="83">
        <v>49335</v>
      </c>
      <c r="D77" s="83">
        <v>37271</v>
      </c>
      <c r="E77" s="83">
        <v>28840</v>
      </c>
      <c r="F77">
        <v>32.36</v>
      </c>
      <c r="G77">
        <v>71.06</v>
      </c>
      <c r="H77" s="83">
        <v>322544</v>
      </c>
      <c r="I77" s="83">
        <v>249528</v>
      </c>
      <c r="J77">
        <v>29.26</v>
      </c>
      <c r="K77" t="s">
        <v>757</v>
      </c>
    </row>
    <row r="78" spans="1:11" customFormat="1" hidden="1">
      <c r="A78">
        <v>8074</v>
      </c>
      <c r="B78" t="s">
        <v>929</v>
      </c>
      <c r="C78" s="83">
        <v>103120</v>
      </c>
      <c r="D78" s="83">
        <v>99996</v>
      </c>
      <c r="E78" s="83">
        <v>118783</v>
      </c>
      <c r="F78">
        <v>3.12</v>
      </c>
      <c r="G78">
        <v>-13.18</v>
      </c>
      <c r="H78" s="83">
        <v>884048</v>
      </c>
      <c r="I78" s="83">
        <v>895485</v>
      </c>
      <c r="J78">
        <v>-1.27</v>
      </c>
      <c r="K78" t="s">
        <v>627</v>
      </c>
    </row>
    <row r="79" spans="1:11" customFormat="1">
      <c r="A79" s="109" t="str">
        <f>HYPERLINK("http://tw.stock.yahoo.com/q/ta?s=3191","3191")</f>
        <v>3191</v>
      </c>
      <c r="B79" s="109" t="str">
        <f>HYPERLINK("http://tw.stock.yahoo.com/d/s/earning_3191.html","和進")</f>
        <v>和進</v>
      </c>
      <c r="C79" s="83">
        <v>174954</v>
      </c>
      <c r="D79" s="83">
        <v>52092</v>
      </c>
      <c r="E79" s="83">
        <v>59684</v>
      </c>
      <c r="F79" s="82">
        <v>235.85</v>
      </c>
      <c r="G79" s="82">
        <v>193.13</v>
      </c>
      <c r="H79" s="83">
        <v>680471</v>
      </c>
      <c r="I79" s="83">
        <v>526550</v>
      </c>
      <c r="J79">
        <v>29.23</v>
      </c>
      <c r="K79" t="s">
        <v>874</v>
      </c>
    </row>
    <row r="80" spans="1:11" customFormat="1" hidden="1">
      <c r="A80">
        <v>8069</v>
      </c>
      <c r="B80" t="s">
        <v>834</v>
      </c>
      <c r="C80" s="83">
        <v>1431303</v>
      </c>
      <c r="D80" s="83">
        <v>1669211</v>
      </c>
      <c r="E80" s="83">
        <v>1613259</v>
      </c>
      <c r="F80">
        <v>-14.25</v>
      </c>
      <c r="G80">
        <v>-11.27</v>
      </c>
      <c r="H80" s="83">
        <v>10769868</v>
      </c>
      <c r="I80" s="83">
        <v>10854450</v>
      </c>
      <c r="J80">
        <v>-0.77</v>
      </c>
      <c r="K80" t="s">
        <v>627</v>
      </c>
    </row>
    <row r="81" spans="1:11" customFormat="1" hidden="1">
      <c r="A81">
        <v>8068</v>
      </c>
      <c r="B81" t="s">
        <v>545</v>
      </c>
      <c r="C81" s="83">
        <v>127458</v>
      </c>
      <c r="D81" s="83">
        <v>115626</v>
      </c>
      <c r="E81" s="83">
        <v>145011</v>
      </c>
      <c r="F81">
        <v>10.23</v>
      </c>
      <c r="G81">
        <v>-12.1</v>
      </c>
      <c r="H81" s="83">
        <v>1167907</v>
      </c>
      <c r="I81" s="83">
        <v>1263708</v>
      </c>
      <c r="J81">
        <v>-7.58</v>
      </c>
      <c r="K81" t="s">
        <v>627</v>
      </c>
    </row>
    <row r="82" spans="1:11" customFormat="1" hidden="1">
      <c r="A82">
        <v>8067</v>
      </c>
      <c r="B82" t="s">
        <v>954</v>
      </c>
      <c r="C82" s="83">
        <v>50679</v>
      </c>
      <c r="D82" s="83">
        <v>46836</v>
      </c>
      <c r="E82" s="83">
        <v>57248</v>
      </c>
      <c r="F82">
        <v>8.1999999999999993</v>
      </c>
      <c r="G82">
        <v>-11.47</v>
      </c>
      <c r="H82" s="83">
        <v>374138</v>
      </c>
      <c r="I82" s="83">
        <v>536196</v>
      </c>
      <c r="J82">
        <v>-30.22</v>
      </c>
      <c r="K82" t="s">
        <v>627</v>
      </c>
    </row>
    <row r="83" spans="1:11" customFormat="1" hidden="1">
      <c r="A83">
        <v>8064</v>
      </c>
      <c r="B83" t="s">
        <v>544</v>
      </c>
      <c r="C83" s="83">
        <v>303643</v>
      </c>
      <c r="D83" s="83">
        <v>265852</v>
      </c>
      <c r="E83" s="83">
        <v>354662</v>
      </c>
      <c r="F83">
        <v>14.21</v>
      </c>
      <c r="G83">
        <v>-14.38</v>
      </c>
      <c r="H83" s="83">
        <v>2213165</v>
      </c>
      <c r="I83" s="83">
        <v>2822773</v>
      </c>
      <c r="J83">
        <v>-21.59</v>
      </c>
      <c r="K83" t="s">
        <v>627</v>
      </c>
    </row>
    <row r="84" spans="1:11" customFormat="1" hidden="1">
      <c r="A84">
        <v>8059</v>
      </c>
      <c r="B84" t="s">
        <v>863</v>
      </c>
      <c r="C84" s="83">
        <v>44796</v>
      </c>
      <c r="D84" s="83">
        <v>92046</v>
      </c>
      <c r="E84" s="83">
        <v>161847</v>
      </c>
      <c r="F84">
        <v>-51.33</v>
      </c>
      <c r="G84">
        <v>-72.319999999999993</v>
      </c>
      <c r="H84" s="83">
        <v>1497086</v>
      </c>
      <c r="I84" s="83">
        <v>1681486</v>
      </c>
      <c r="J84">
        <v>-10.96</v>
      </c>
      <c r="K84" t="s">
        <v>864</v>
      </c>
    </row>
    <row r="85" spans="1:11" customFormat="1" hidden="1">
      <c r="A85">
        <v>8054</v>
      </c>
      <c r="B85" t="s">
        <v>543</v>
      </c>
      <c r="C85" s="83">
        <v>186988</v>
      </c>
      <c r="D85" s="83">
        <v>180048</v>
      </c>
      <c r="E85" s="83">
        <v>209591</v>
      </c>
      <c r="F85">
        <v>3.85</v>
      </c>
      <c r="G85">
        <v>-10.78</v>
      </c>
      <c r="H85" s="83">
        <v>1703977</v>
      </c>
      <c r="I85" s="83">
        <v>2005338</v>
      </c>
      <c r="J85">
        <v>-15.02</v>
      </c>
      <c r="K85" t="s">
        <v>627</v>
      </c>
    </row>
    <row r="86" spans="1:11" customFormat="1" hidden="1">
      <c r="A86">
        <v>8053</v>
      </c>
      <c r="B86" t="s">
        <v>833</v>
      </c>
      <c r="C86" s="83">
        <v>300645</v>
      </c>
      <c r="D86" s="83">
        <v>269009</v>
      </c>
      <c r="E86" s="83">
        <v>375649</v>
      </c>
      <c r="F86">
        <v>11.76</v>
      </c>
      <c r="G86">
        <v>-19.96</v>
      </c>
      <c r="H86" s="83">
        <v>2772610</v>
      </c>
      <c r="I86" s="83">
        <v>3287973</v>
      </c>
      <c r="J86">
        <v>-15.67</v>
      </c>
      <c r="K86" t="s">
        <v>627</v>
      </c>
    </row>
    <row r="87" spans="1:11" customFormat="1" hidden="1">
      <c r="A87">
        <v>8050</v>
      </c>
      <c r="B87" t="s">
        <v>798</v>
      </c>
      <c r="C87" s="83">
        <v>317029</v>
      </c>
      <c r="D87" s="83">
        <v>343783</v>
      </c>
      <c r="E87" s="83">
        <v>397266</v>
      </c>
      <c r="F87">
        <v>-7.78</v>
      </c>
      <c r="G87">
        <v>-20.190000000000001</v>
      </c>
      <c r="H87" s="83">
        <v>3240027</v>
      </c>
      <c r="I87" s="83">
        <v>2789617</v>
      </c>
      <c r="J87">
        <v>16.14</v>
      </c>
      <c r="K87" t="s">
        <v>627</v>
      </c>
    </row>
    <row r="88" spans="1:11" customFormat="1" hidden="1">
      <c r="A88">
        <v>8287</v>
      </c>
      <c r="B88" t="s">
        <v>938</v>
      </c>
      <c r="C88" s="83">
        <v>1311237</v>
      </c>
      <c r="D88" s="83">
        <v>1268613</v>
      </c>
      <c r="E88" s="83">
        <v>1158424</v>
      </c>
      <c r="F88">
        <v>3.35</v>
      </c>
      <c r="G88">
        <v>13.19</v>
      </c>
      <c r="H88" s="83">
        <v>11569697</v>
      </c>
      <c r="I88" s="83">
        <v>8962281</v>
      </c>
      <c r="J88">
        <v>29.09</v>
      </c>
      <c r="K88" t="s">
        <v>627</v>
      </c>
    </row>
    <row r="89" spans="1:11" customFormat="1" hidden="1">
      <c r="A89">
        <v>5301</v>
      </c>
      <c r="B89" t="s">
        <v>458</v>
      </c>
      <c r="C89" s="83">
        <v>173207</v>
      </c>
      <c r="D89" s="83">
        <v>170513</v>
      </c>
      <c r="E89" s="83">
        <v>139759</v>
      </c>
      <c r="F89">
        <v>1.57</v>
      </c>
      <c r="G89">
        <v>23.93</v>
      </c>
      <c r="H89" s="83">
        <v>1689668</v>
      </c>
      <c r="I89" s="83">
        <v>1313053</v>
      </c>
      <c r="J89">
        <v>28.68</v>
      </c>
      <c r="K89" t="s">
        <v>627</v>
      </c>
    </row>
    <row r="90" spans="1:11" customFormat="1">
      <c r="A90" s="109" t="str">
        <f>HYPERLINK("http://tw.stock.yahoo.com/q/ta?s=8942","8942")</f>
        <v>8942</v>
      </c>
      <c r="B90" s="109" t="str">
        <f>HYPERLINK("http://tw.stock.yahoo.com/d/s/earning_8942.html","森鉅")</f>
        <v>森鉅</v>
      </c>
      <c r="C90" s="83">
        <v>320812</v>
      </c>
      <c r="D90" s="83">
        <v>302562</v>
      </c>
      <c r="E90" s="83">
        <v>234426</v>
      </c>
      <c r="F90">
        <v>6.03</v>
      </c>
      <c r="G90">
        <v>36.85</v>
      </c>
      <c r="H90" s="83">
        <v>3407456</v>
      </c>
      <c r="I90" s="83">
        <v>2648484</v>
      </c>
      <c r="J90">
        <v>28.65</v>
      </c>
      <c r="K90" t="s">
        <v>627</v>
      </c>
    </row>
    <row r="91" spans="1:11" customFormat="1" hidden="1">
      <c r="A91">
        <v>4528</v>
      </c>
      <c r="B91" t="s">
        <v>653</v>
      </c>
      <c r="C91" s="83">
        <v>188569</v>
      </c>
      <c r="D91" s="83">
        <v>180455</v>
      </c>
      <c r="E91" s="83">
        <v>152354</v>
      </c>
      <c r="F91">
        <v>4.49</v>
      </c>
      <c r="G91">
        <v>23.77</v>
      </c>
      <c r="H91" s="83">
        <v>1658433</v>
      </c>
      <c r="I91" s="83">
        <v>1289433</v>
      </c>
      <c r="J91">
        <v>28.61</v>
      </c>
      <c r="K91" t="s">
        <v>627</v>
      </c>
    </row>
    <row r="92" spans="1:11" customFormat="1" hidden="1">
      <c r="A92">
        <v>8038</v>
      </c>
      <c r="B92" t="s">
        <v>542</v>
      </c>
      <c r="C92" s="83">
        <v>2762</v>
      </c>
      <c r="D92" s="83">
        <v>5417</v>
      </c>
      <c r="E92" s="83">
        <v>10698</v>
      </c>
      <c r="F92">
        <v>-49.01</v>
      </c>
      <c r="G92">
        <v>-74.180000000000007</v>
      </c>
      <c r="H92" s="83">
        <v>44365</v>
      </c>
      <c r="I92" s="83">
        <v>70493</v>
      </c>
      <c r="J92">
        <v>-37.06</v>
      </c>
      <c r="K92" t="s">
        <v>928</v>
      </c>
    </row>
    <row r="93" spans="1:11" customFormat="1" hidden="1">
      <c r="A93">
        <v>8034</v>
      </c>
      <c r="B93" t="s">
        <v>860</v>
      </c>
      <c r="C93" s="83">
        <v>16113</v>
      </c>
      <c r="D93" s="83">
        <v>11473</v>
      </c>
      <c r="E93" s="83">
        <v>18813</v>
      </c>
      <c r="F93">
        <v>40.44</v>
      </c>
      <c r="G93">
        <v>-14.35</v>
      </c>
      <c r="H93" s="83">
        <v>151449</v>
      </c>
      <c r="I93" s="83">
        <v>148873</v>
      </c>
      <c r="J93">
        <v>1.73</v>
      </c>
      <c r="K93" t="s">
        <v>627</v>
      </c>
    </row>
    <row r="94" spans="1:11" customFormat="1" hidden="1">
      <c r="A94">
        <v>8032</v>
      </c>
      <c r="B94" t="s">
        <v>952</v>
      </c>
      <c r="C94" s="83">
        <v>442444</v>
      </c>
      <c r="D94" s="83">
        <v>343967</v>
      </c>
      <c r="E94" s="83">
        <v>341938</v>
      </c>
      <c r="F94">
        <v>28.62</v>
      </c>
      <c r="G94">
        <v>29.39</v>
      </c>
      <c r="H94" s="83">
        <v>3131690</v>
      </c>
      <c r="I94" s="83">
        <v>3318188</v>
      </c>
      <c r="J94">
        <v>-5.62</v>
      </c>
      <c r="K94" t="s">
        <v>953</v>
      </c>
    </row>
    <row r="95" spans="1:11" customFormat="1" hidden="1">
      <c r="A95">
        <v>8027</v>
      </c>
      <c r="B95" t="s">
        <v>657</v>
      </c>
      <c r="C95" s="83">
        <v>121601</v>
      </c>
      <c r="D95" s="83">
        <v>133469</v>
      </c>
      <c r="E95" s="83">
        <v>229438</v>
      </c>
      <c r="F95">
        <v>-8.89</v>
      </c>
      <c r="G95">
        <v>-47</v>
      </c>
      <c r="H95" s="83">
        <v>1203956</v>
      </c>
      <c r="I95" s="83">
        <v>1442416</v>
      </c>
      <c r="J95">
        <v>-16.53</v>
      </c>
      <c r="K95" t="s">
        <v>658</v>
      </c>
    </row>
    <row r="96" spans="1:11" customFormat="1" hidden="1">
      <c r="A96">
        <v>8024</v>
      </c>
      <c r="B96" t="s">
        <v>541</v>
      </c>
      <c r="C96" s="83">
        <v>42203</v>
      </c>
      <c r="D96" s="83">
        <v>49930</v>
      </c>
      <c r="E96" s="83">
        <v>52810</v>
      </c>
      <c r="F96">
        <v>-15.47</v>
      </c>
      <c r="G96">
        <v>-20.079999999999998</v>
      </c>
      <c r="H96" s="83">
        <v>459406</v>
      </c>
      <c r="I96" s="83">
        <v>519716</v>
      </c>
      <c r="J96">
        <v>-11.6</v>
      </c>
      <c r="K96" t="s">
        <v>627</v>
      </c>
    </row>
    <row r="97" spans="1:11" customFormat="1">
      <c r="A97" s="109" t="str">
        <f>HYPERLINK("http://tw.stock.yahoo.com/q/ta?s=3521","3521")</f>
        <v>3521</v>
      </c>
      <c r="B97" s="109" t="str">
        <f>HYPERLINK("http://tw.stock.yahoo.com/d/s/earning_3521.html","鴻翊")</f>
        <v>鴻翊</v>
      </c>
      <c r="C97" s="83">
        <v>86990</v>
      </c>
      <c r="D97" s="83">
        <v>33935</v>
      </c>
      <c r="E97" s="83">
        <v>31582</v>
      </c>
      <c r="F97" s="82">
        <v>156.34</v>
      </c>
      <c r="G97" s="82">
        <v>175.44</v>
      </c>
      <c r="H97" s="83">
        <v>386839</v>
      </c>
      <c r="I97" s="83">
        <v>302868</v>
      </c>
      <c r="J97">
        <v>27.72</v>
      </c>
      <c r="K97" t="s">
        <v>776</v>
      </c>
    </row>
    <row r="98" spans="1:11" customFormat="1" hidden="1">
      <c r="A98">
        <v>6609</v>
      </c>
      <c r="B98" t="s">
        <v>540</v>
      </c>
      <c r="C98" s="83">
        <v>181569</v>
      </c>
      <c r="D98" s="83">
        <v>265745</v>
      </c>
      <c r="E98" s="83">
        <v>252253</v>
      </c>
      <c r="F98">
        <v>-31.67</v>
      </c>
      <c r="G98">
        <v>-28.02</v>
      </c>
      <c r="H98" s="83">
        <v>2064592</v>
      </c>
      <c r="I98" s="83">
        <v>2456842</v>
      </c>
      <c r="J98">
        <v>-15.96</v>
      </c>
      <c r="K98" t="s">
        <v>627</v>
      </c>
    </row>
    <row r="99" spans="1:11" customFormat="1" hidden="1">
      <c r="A99">
        <v>6603</v>
      </c>
      <c r="B99" t="s">
        <v>539</v>
      </c>
      <c r="C99" s="83">
        <v>228346</v>
      </c>
      <c r="D99" s="83">
        <v>295837</v>
      </c>
      <c r="E99" s="83">
        <v>307965</v>
      </c>
      <c r="F99">
        <v>-22.81</v>
      </c>
      <c r="G99">
        <v>-25.85</v>
      </c>
      <c r="H99" s="83">
        <v>2106483</v>
      </c>
      <c r="I99" s="83">
        <v>2075712</v>
      </c>
      <c r="J99">
        <v>1.48</v>
      </c>
      <c r="K99" t="s">
        <v>627</v>
      </c>
    </row>
    <row r="100" spans="1:11" customFormat="1" hidden="1">
      <c r="A100">
        <v>6509</v>
      </c>
      <c r="B100" t="s">
        <v>538</v>
      </c>
      <c r="C100" s="83">
        <v>239216</v>
      </c>
      <c r="D100" s="83">
        <v>251327</v>
      </c>
      <c r="E100" s="83">
        <v>275068</v>
      </c>
      <c r="F100">
        <v>-4.8099999999999996</v>
      </c>
      <c r="G100">
        <v>-13.03</v>
      </c>
      <c r="H100" s="83">
        <v>2318686</v>
      </c>
      <c r="I100" s="83">
        <v>2508771</v>
      </c>
      <c r="J100">
        <v>-7.57</v>
      </c>
      <c r="K100" t="s">
        <v>627</v>
      </c>
    </row>
    <row r="101" spans="1:11" customFormat="1" hidden="1">
      <c r="A101">
        <v>6508</v>
      </c>
      <c r="B101" t="s">
        <v>537</v>
      </c>
      <c r="C101" s="83">
        <v>150158</v>
      </c>
      <c r="D101" s="83">
        <v>190975</v>
      </c>
      <c r="E101" s="83">
        <v>191649</v>
      </c>
      <c r="F101">
        <v>-21.37</v>
      </c>
      <c r="G101">
        <v>-21.64</v>
      </c>
      <c r="H101" s="83">
        <v>1891425</v>
      </c>
      <c r="I101" s="83">
        <v>2121798</v>
      </c>
      <c r="J101">
        <v>-10.85</v>
      </c>
      <c r="K101" t="s">
        <v>627</v>
      </c>
    </row>
    <row r="102" spans="1:11" customFormat="1" hidden="1">
      <c r="A102">
        <v>6488</v>
      </c>
      <c r="B102" t="s">
        <v>760</v>
      </c>
      <c r="C102" s="83">
        <v>1277603</v>
      </c>
      <c r="D102" s="83">
        <v>1226641</v>
      </c>
      <c r="E102" s="83">
        <v>1538291</v>
      </c>
      <c r="F102">
        <v>4.1500000000000004</v>
      </c>
      <c r="G102">
        <v>-16.940000000000001</v>
      </c>
      <c r="H102" s="83">
        <v>11791709</v>
      </c>
      <c r="I102" s="83">
        <v>11974169</v>
      </c>
      <c r="J102">
        <v>-1.52</v>
      </c>
      <c r="K102" t="s">
        <v>627</v>
      </c>
    </row>
    <row r="103" spans="1:11" customFormat="1" hidden="1">
      <c r="A103">
        <v>6457</v>
      </c>
      <c r="B103" t="s">
        <v>759</v>
      </c>
      <c r="C103" s="83">
        <v>46336</v>
      </c>
      <c r="D103" s="83">
        <v>52198</v>
      </c>
      <c r="E103" s="83">
        <v>48809</v>
      </c>
      <c r="F103">
        <v>-11.23</v>
      </c>
      <c r="G103">
        <v>-5.0599999999999996</v>
      </c>
      <c r="H103" s="83">
        <v>402115</v>
      </c>
      <c r="I103" s="83">
        <v>342853</v>
      </c>
      <c r="J103">
        <v>17.28</v>
      </c>
      <c r="K103" t="s">
        <v>627</v>
      </c>
    </row>
    <row r="104" spans="1:11" customFormat="1">
      <c r="A104" s="109" t="str">
        <f>HYPERLINK("http://tw.stock.yahoo.com/q/ta?s=4726","4726")</f>
        <v>4726</v>
      </c>
      <c r="B104" s="109" t="str">
        <f>HYPERLINK("http://tw.stock.yahoo.com/d/s/earning_4726.html","永昕生物")</f>
        <v>永昕生物</v>
      </c>
      <c r="C104" s="83">
        <v>39863</v>
      </c>
      <c r="D104" s="83">
        <v>13742</v>
      </c>
      <c r="E104" s="83">
        <v>3362</v>
      </c>
      <c r="F104" s="82">
        <v>190.08</v>
      </c>
      <c r="G104" s="114">
        <v>1085.69</v>
      </c>
      <c r="H104" s="83">
        <v>77193</v>
      </c>
      <c r="I104" s="83">
        <v>60689</v>
      </c>
      <c r="J104">
        <v>27.19</v>
      </c>
      <c r="K104" t="s">
        <v>708</v>
      </c>
    </row>
    <row r="105" spans="1:11" customFormat="1" hidden="1">
      <c r="A105">
        <v>6426</v>
      </c>
      <c r="B105" t="s">
        <v>536</v>
      </c>
      <c r="C105" s="83">
        <v>35945</v>
      </c>
      <c r="D105" s="83">
        <v>42873</v>
      </c>
      <c r="E105" s="83">
        <v>37181</v>
      </c>
      <c r="F105">
        <v>-16.149999999999999</v>
      </c>
      <c r="G105">
        <v>-3.32</v>
      </c>
      <c r="H105" s="83">
        <v>390695</v>
      </c>
      <c r="I105" s="83">
        <v>383736</v>
      </c>
      <c r="J105">
        <v>1.81</v>
      </c>
      <c r="K105" t="s">
        <v>627</v>
      </c>
    </row>
    <row r="106" spans="1:11" customFormat="1" hidden="1">
      <c r="A106">
        <v>3294</v>
      </c>
      <c r="B106" t="s">
        <v>355</v>
      </c>
      <c r="C106" s="83">
        <v>579521</v>
      </c>
      <c r="D106" s="83">
        <v>560902</v>
      </c>
      <c r="E106" s="83">
        <v>397151</v>
      </c>
      <c r="F106">
        <v>3.31</v>
      </c>
      <c r="G106">
        <v>45.91</v>
      </c>
      <c r="H106" s="83">
        <v>4394518</v>
      </c>
      <c r="I106" s="83">
        <v>3456943</v>
      </c>
      <c r="J106">
        <v>27.12</v>
      </c>
      <c r="K106" t="s">
        <v>627</v>
      </c>
    </row>
    <row r="107" spans="1:11" customFormat="1">
      <c r="A107" s="109" t="str">
        <f>HYPERLINK("http://tw.stock.yahoo.com/q/ta?s=3552","3552")</f>
        <v>3552</v>
      </c>
      <c r="B107" s="109" t="str">
        <f>HYPERLINK("http://tw.stock.yahoo.com/d/s/earning_3552.html","同致電子")</f>
        <v>同致電子</v>
      </c>
      <c r="C107" s="83">
        <v>586243</v>
      </c>
      <c r="D107" s="83">
        <v>539514</v>
      </c>
      <c r="E107" s="83">
        <v>442540</v>
      </c>
      <c r="F107">
        <v>8.66</v>
      </c>
      <c r="G107">
        <v>32.47</v>
      </c>
      <c r="H107" s="83">
        <v>4698045</v>
      </c>
      <c r="I107" s="83">
        <v>3703192</v>
      </c>
      <c r="J107">
        <v>26.86</v>
      </c>
      <c r="K107" t="s">
        <v>627</v>
      </c>
    </row>
    <row r="108" spans="1:11" customFormat="1" hidden="1">
      <c r="A108">
        <v>6298</v>
      </c>
      <c r="B108" t="s">
        <v>797</v>
      </c>
      <c r="C108" s="83">
        <v>467500</v>
      </c>
      <c r="D108" s="83">
        <v>476175</v>
      </c>
      <c r="E108" s="83">
        <v>576305</v>
      </c>
      <c r="F108">
        <v>-1.82</v>
      </c>
      <c r="G108">
        <v>-18.87</v>
      </c>
      <c r="H108" s="83">
        <v>3993035</v>
      </c>
      <c r="I108" s="83">
        <v>4006884</v>
      </c>
      <c r="J108">
        <v>-0.34</v>
      </c>
      <c r="K108" t="s">
        <v>627</v>
      </c>
    </row>
    <row r="109" spans="1:11" customFormat="1">
      <c r="A109" s="109" t="str">
        <f>HYPERLINK("http://tw.stock.yahoo.com/q/ta?s=6247","6247")</f>
        <v>6247</v>
      </c>
      <c r="B109" s="109" t="str">
        <f>HYPERLINK("http://tw.stock.yahoo.com/d/s/earning_6247.html","淇譽電")</f>
        <v>淇譽電</v>
      </c>
      <c r="C109" s="83">
        <v>189291</v>
      </c>
      <c r="D109" s="83">
        <v>103904</v>
      </c>
      <c r="E109" s="83">
        <v>121115</v>
      </c>
      <c r="F109" s="82">
        <v>82.17</v>
      </c>
      <c r="G109">
        <v>56.29</v>
      </c>
      <c r="H109" s="83">
        <v>1035953</v>
      </c>
      <c r="I109" s="83">
        <v>824947</v>
      </c>
      <c r="J109">
        <v>25.57</v>
      </c>
      <c r="K109" t="s">
        <v>992</v>
      </c>
    </row>
    <row r="110" spans="1:11" customFormat="1" hidden="1">
      <c r="A110">
        <v>6292</v>
      </c>
      <c r="B110" t="s">
        <v>926</v>
      </c>
      <c r="C110" s="83">
        <v>129167</v>
      </c>
      <c r="D110" s="83">
        <v>106486</v>
      </c>
      <c r="E110" s="83">
        <v>104718</v>
      </c>
      <c r="F110">
        <v>21.29</v>
      </c>
      <c r="G110">
        <v>23.34</v>
      </c>
      <c r="H110" s="83">
        <v>1049695</v>
      </c>
      <c r="I110" s="83">
        <v>1071292</v>
      </c>
      <c r="J110">
        <v>-2.0099999999999998</v>
      </c>
      <c r="K110" t="s">
        <v>627</v>
      </c>
    </row>
    <row r="111" spans="1:11" customFormat="1" hidden="1">
      <c r="A111">
        <v>6291</v>
      </c>
      <c r="B111" t="s">
        <v>534</v>
      </c>
      <c r="C111" s="83">
        <v>18120</v>
      </c>
      <c r="D111" s="83">
        <v>20191</v>
      </c>
      <c r="E111" s="83">
        <v>25043</v>
      </c>
      <c r="F111">
        <v>-10.25</v>
      </c>
      <c r="G111">
        <v>-27.64</v>
      </c>
      <c r="H111" s="83">
        <v>187323</v>
      </c>
      <c r="I111" s="83">
        <v>229506</v>
      </c>
      <c r="J111">
        <v>-18.37</v>
      </c>
      <c r="K111" t="s">
        <v>627</v>
      </c>
    </row>
    <row r="112" spans="1:11" customFormat="1" hidden="1">
      <c r="A112">
        <v>6290</v>
      </c>
      <c r="B112" t="s">
        <v>925</v>
      </c>
      <c r="C112" s="83">
        <v>723145</v>
      </c>
      <c r="D112" s="83">
        <v>623663</v>
      </c>
      <c r="E112" s="83">
        <v>645462</v>
      </c>
      <c r="F112">
        <v>15.95</v>
      </c>
      <c r="G112">
        <v>12.03</v>
      </c>
      <c r="H112" s="83">
        <v>5185741</v>
      </c>
      <c r="I112" s="83">
        <v>5431406</v>
      </c>
      <c r="J112">
        <v>-4.5199999999999996</v>
      </c>
      <c r="K112" t="s">
        <v>627</v>
      </c>
    </row>
    <row r="113" spans="1:11" customFormat="1">
      <c r="A113" s="109" t="str">
        <f>HYPERLINK("http://tw.stock.yahoo.com/q/ta?s=1599","1599")</f>
        <v>1599</v>
      </c>
      <c r="B113" s="109" t="str">
        <f>HYPERLINK("http://tw.stock.yahoo.com/d/s/earning_1599.html","宏佳騰")</f>
        <v>宏佳騰</v>
      </c>
      <c r="C113" s="83">
        <v>385803</v>
      </c>
      <c r="D113" s="83">
        <v>264999</v>
      </c>
      <c r="E113" s="83">
        <v>319173</v>
      </c>
      <c r="F113">
        <v>45.58</v>
      </c>
      <c r="G113">
        <v>20.87</v>
      </c>
      <c r="H113" s="83">
        <v>2089563</v>
      </c>
      <c r="I113" s="83">
        <v>1686333</v>
      </c>
      <c r="J113">
        <v>23.91</v>
      </c>
      <c r="K113" t="s">
        <v>627</v>
      </c>
    </row>
    <row r="114" spans="1:11" customFormat="1" hidden="1">
      <c r="A114">
        <v>6284</v>
      </c>
      <c r="B114" t="s">
        <v>924</v>
      </c>
      <c r="C114" s="83">
        <v>358852</v>
      </c>
      <c r="D114" s="83">
        <v>328566</v>
      </c>
      <c r="E114" s="83">
        <v>367106</v>
      </c>
      <c r="F114">
        <v>9.2100000000000009</v>
      </c>
      <c r="G114">
        <v>-2.2400000000000002</v>
      </c>
      <c r="H114" s="83">
        <v>2541096</v>
      </c>
      <c r="I114" s="83">
        <v>2438478</v>
      </c>
      <c r="J114">
        <v>4.2</v>
      </c>
      <c r="K114" t="s">
        <v>627</v>
      </c>
    </row>
    <row r="115" spans="1:11" customFormat="1" hidden="1">
      <c r="A115">
        <v>6276</v>
      </c>
      <c r="B115" t="s">
        <v>533</v>
      </c>
      <c r="C115" s="83">
        <v>94702</v>
      </c>
      <c r="D115" s="83">
        <v>99734</v>
      </c>
      <c r="E115" s="83">
        <v>119012</v>
      </c>
      <c r="F115">
        <v>-5.04</v>
      </c>
      <c r="G115">
        <v>-20.420000000000002</v>
      </c>
      <c r="H115" s="83">
        <v>1002585</v>
      </c>
      <c r="I115" s="83">
        <v>1167035</v>
      </c>
      <c r="J115">
        <v>-14.09</v>
      </c>
      <c r="K115" t="s">
        <v>627</v>
      </c>
    </row>
    <row r="116" spans="1:11" customFormat="1" hidden="1">
      <c r="A116">
        <v>6275</v>
      </c>
      <c r="B116" t="s">
        <v>993</v>
      </c>
      <c r="C116" s="83">
        <v>160481</v>
      </c>
      <c r="D116" s="83">
        <v>141806</v>
      </c>
      <c r="E116" s="83">
        <v>174843</v>
      </c>
      <c r="F116">
        <v>13.16</v>
      </c>
      <c r="G116">
        <v>-8.2100000000000009</v>
      </c>
      <c r="H116" s="83">
        <v>1570554</v>
      </c>
      <c r="I116" s="83">
        <v>1664342</v>
      </c>
      <c r="J116">
        <v>-5.63</v>
      </c>
      <c r="K116" t="s">
        <v>627</v>
      </c>
    </row>
    <row r="117" spans="1:11" customFormat="1" hidden="1">
      <c r="A117">
        <v>6274</v>
      </c>
      <c r="B117" t="s">
        <v>532</v>
      </c>
      <c r="C117" s="83">
        <v>1175102</v>
      </c>
      <c r="D117" s="83">
        <v>1204991</v>
      </c>
      <c r="E117" s="83">
        <v>1159237</v>
      </c>
      <c r="F117">
        <v>-2.48</v>
      </c>
      <c r="G117">
        <v>1.36</v>
      </c>
      <c r="H117" s="83">
        <v>9676039</v>
      </c>
      <c r="I117" s="83">
        <v>9939399</v>
      </c>
      <c r="J117">
        <v>-2.64</v>
      </c>
      <c r="K117" t="s">
        <v>627</v>
      </c>
    </row>
    <row r="118" spans="1:11" customFormat="1" hidden="1">
      <c r="A118">
        <v>6270</v>
      </c>
      <c r="B118" t="s">
        <v>951</v>
      </c>
      <c r="C118" s="83">
        <v>177348</v>
      </c>
      <c r="D118" s="83">
        <v>178858</v>
      </c>
      <c r="E118" s="83">
        <v>194515</v>
      </c>
      <c r="F118">
        <v>-0.84</v>
      </c>
      <c r="G118">
        <v>-8.82</v>
      </c>
      <c r="H118" s="83">
        <v>1670725</v>
      </c>
      <c r="I118" s="83">
        <v>1726071</v>
      </c>
      <c r="J118">
        <v>-3.2</v>
      </c>
      <c r="K118" t="s">
        <v>627</v>
      </c>
    </row>
    <row r="119" spans="1:11" customFormat="1" hidden="1">
      <c r="A119">
        <v>6266</v>
      </c>
      <c r="B119" t="s">
        <v>923</v>
      </c>
      <c r="C119" s="83">
        <v>161164</v>
      </c>
      <c r="D119" s="83">
        <v>145450</v>
      </c>
      <c r="E119" s="83">
        <v>163210</v>
      </c>
      <c r="F119">
        <v>10.8</v>
      </c>
      <c r="G119">
        <v>-1.25</v>
      </c>
      <c r="H119" s="83">
        <v>1539923</v>
      </c>
      <c r="I119" s="83">
        <v>1454226</v>
      </c>
      <c r="J119">
        <v>5.89</v>
      </c>
      <c r="K119" t="s">
        <v>627</v>
      </c>
    </row>
    <row r="120" spans="1:11" customFormat="1" hidden="1">
      <c r="A120">
        <v>6265</v>
      </c>
      <c r="B120" t="s">
        <v>531</v>
      </c>
      <c r="C120" s="83">
        <v>658368</v>
      </c>
      <c r="D120" s="83">
        <v>766969</v>
      </c>
      <c r="E120" s="83">
        <v>1054854</v>
      </c>
      <c r="F120">
        <v>-14.15</v>
      </c>
      <c r="G120">
        <v>-37.58</v>
      </c>
      <c r="H120" s="83">
        <v>6586170</v>
      </c>
      <c r="I120" s="83">
        <v>9499762</v>
      </c>
      <c r="J120">
        <v>-30.67</v>
      </c>
      <c r="K120" t="s">
        <v>627</v>
      </c>
    </row>
    <row r="121" spans="1:11" customFormat="1" hidden="1">
      <c r="A121">
        <v>6264</v>
      </c>
      <c r="B121" t="s">
        <v>530</v>
      </c>
      <c r="C121" s="83">
        <v>3386</v>
      </c>
      <c r="D121" s="83">
        <v>2790</v>
      </c>
      <c r="E121" s="83">
        <v>1432</v>
      </c>
      <c r="F121">
        <v>21.36</v>
      </c>
      <c r="G121">
        <v>136.44999999999999</v>
      </c>
      <c r="H121" s="83">
        <v>20502</v>
      </c>
      <c r="I121" s="83">
        <v>95364</v>
      </c>
      <c r="J121">
        <v>-78.5</v>
      </c>
      <c r="K121" t="s">
        <v>1021</v>
      </c>
    </row>
    <row r="122" spans="1:11" customFormat="1">
      <c r="A122" s="109" t="str">
        <f>HYPERLINK("http://tw.stock.yahoo.com/q/ta?s=5209","5209")</f>
        <v>5209</v>
      </c>
      <c r="B122" s="109" t="str">
        <f>HYPERLINK("http://tw.stock.yahoo.com/d/s/earning_5209.html","新鼎系統")</f>
        <v>新鼎系統</v>
      </c>
      <c r="C122" s="83">
        <v>128663</v>
      </c>
      <c r="D122" s="83">
        <v>109393</v>
      </c>
      <c r="E122" s="83">
        <v>106560</v>
      </c>
      <c r="F122">
        <v>17.61</v>
      </c>
      <c r="G122">
        <v>20.74</v>
      </c>
      <c r="H122" s="83">
        <v>1073635</v>
      </c>
      <c r="I122" s="83">
        <v>875194</v>
      </c>
      <c r="J122">
        <v>22.67</v>
      </c>
      <c r="K122" t="s">
        <v>627</v>
      </c>
    </row>
    <row r="123" spans="1:11" customFormat="1" hidden="1">
      <c r="A123">
        <v>6261</v>
      </c>
      <c r="B123" t="s">
        <v>529</v>
      </c>
      <c r="C123" s="83">
        <v>296012</v>
      </c>
      <c r="D123" s="83">
        <v>320816</v>
      </c>
      <c r="E123" s="83">
        <v>371401</v>
      </c>
      <c r="F123">
        <v>-7.73</v>
      </c>
      <c r="G123">
        <v>-20.29</v>
      </c>
      <c r="H123" s="83">
        <v>2809560</v>
      </c>
      <c r="I123" s="83">
        <v>3099417</v>
      </c>
      <c r="J123">
        <v>-9.35</v>
      </c>
      <c r="K123" t="s">
        <v>627</v>
      </c>
    </row>
    <row r="124" spans="1:11" customFormat="1" hidden="1">
      <c r="A124">
        <v>6259</v>
      </c>
      <c r="B124" t="s">
        <v>528</v>
      </c>
      <c r="C124" s="83">
        <v>81933</v>
      </c>
      <c r="D124" s="83">
        <v>134455</v>
      </c>
      <c r="E124" s="83">
        <v>124344</v>
      </c>
      <c r="F124">
        <v>-39.06</v>
      </c>
      <c r="G124">
        <v>-34.1</v>
      </c>
      <c r="H124" s="83">
        <v>966180</v>
      </c>
      <c r="I124" s="83">
        <v>1096743</v>
      </c>
      <c r="J124">
        <v>-11.9</v>
      </c>
      <c r="K124" t="s">
        <v>627</v>
      </c>
    </row>
    <row r="125" spans="1:11" customFormat="1" hidden="1">
      <c r="A125">
        <v>6250</v>
      </c>
      <c r="B125" t="s">
        <v>527</v>
      </c>
      <c r="C125" s="83">
        <v>5740</v>
      </c>
      <c r="D125" s="83">
        <v>12607</v>
      </c>
      <c r="E125" s="83">
        <v>18084</v>
      </c>
      <c r="F125">
        <v>-54.46</v>
      </c>
      <c r="G125">
        <v>-68.25</v>
      </c>
      <c r="H125" s="83">
        <v>105118</v>
      </c>
      <c r="I125" s="83">
        <v>199943</v>
      </c>
      <c r="J125">
        <v>-47.42</v>
      </c>
      <c r="K125" t="s">
        <v>922</v>
      </c>
    </row>
    <row r="126" spans="1:11" customFormat="1" hidden="1">
      <c r="A126">
        <v>6248</v>
      </c>
      <c r="B126" t="s">
        <v>526</v>
      </c>
      <c r="C126" s="83">
        <v>77156</v>
      </c>
      <c r="D126" s="83">
        <v>94940</v>
      </c>
      <c r="E126" s="83">
        <v>119400</v>
      </c>
      <c r="F126">
        <v>-18.73</v>
      </c>
      <c r="G126">
        <v>-35.380000000000003</v>
      </c>
      <c r="H126" s="83">
        <v>916928</v>
      </c>
      <c r="I126" s="83">
        <v>567151</v>
      </c>
      <c r="J126">
        <v>61.67</v>
      </c>
      <c r="K126" t="s">
        <v>720</v>
      </c>
    </row>
    <row r="127" spans="1:11" customFormat="1">
      <c r="A127" s="109" t="str">
        <f>HYPERLINK("http://tw.stock.yahoo.com/q/ta?s=2732","2732")</f>
        <v>2732</v>
      </c>
      <c r="B127" s="109" t="str">
        <f>HYPERLINK("http://tw.stock.yahoo.com/d/s/earning_2732.html","六角國際")</f>
        <v>六角國際</v>
      </c>
      <c r="C127" s="83">
        <v>151806</v>
      </c>
      <c r="D127" s="83">
        <v>138442</v>
      </c>
      <c r="E127" s="83">
        <v>125327</v>
      </c>
      <c r="F127">
        <v>9.65</v>
      </c>
      <c r="G127">
        <v>21.12</v>
      </c>
      <c r="H127" s="83">
        <v>1184693</v>
      </c>
      <c r="I127" s="83">
        <v>967230</v>
      </c>
      <c r="J127">
        <v>22.48</v>
      </c>
      <c r="K127" t="s">
        <v>627</v>
      </c>
    </row>
    <row r="128" spans="1:11" customFormat="1" hidden="1">
      <c r="A128">
        <v>6246</v>
      </c>
      <c r="B128" t="s">
        <v>525</v>
      </c>
      <c r="C128" s="83">
        <v>60724</v>
      </c>
      <c r="D128" s="83">
        <v>72747</v>
      </c>
      <c r="E128" s="83">
        <v>87689</v>
      </c>
      <c r="F128">
        <v>-16.52</v>
      </c>
      <c r="G128">
        <v>-30.75</v>
      </c>
      <c r="H128" s="83">
        <v>699577</v>
      </c>
      <c r="I128" s="83">
        <v>1367587</v>
      </c>
      <c r="J128">
        <v>-48.84</v>
      </c>
      <c r="K128" t="s">
        <v>627</v>
      </c>
    </row>
    <row r="129" spans="1:11" customFormat="1" hidden="1">
      <c r="A129">
        <v>3373</v>
      </c>
      <c r="B129" t="s">
        <v>365</v>
      </c>
      <c r="C129" s="83">
        <v>83193</v>
      </c>
      <c r="D129" s="83">
        <v>80621</v>
      </c>
      <c r="E129" s="83">
        <v>65354</v>
      </c>
      <c r="F129">
        <v>3.19</v>
      </c>
      <c r="G129">
        <v>27.29</v>
      </c>
      <c r="H129" s="83">
        <v>664337</v>
      </c>
      <c r="I129" s="83">
        <v>544157</v>
      </c>
      <c r="J129">
        <v>22.08</v>
      </c>
      <c r="K129" t="s">
        <v>627</v>
      </c>
    </row>
    <row r="130" spans="1:11" customFormat="1">
      <c r="A130" s="109" t="str">
        <f>HYPERLINK("http://tw.stock.yahoo.com/q/ta?s=3115","3115")</f>
        <v>3115</v>
      </c>
      <c r="B130" s="109" t="str">
        <f>HYPERLINK("http://tw.stock.yahoo.com/d/s/earning_3115.html","寶島極")</f>
        <v>寶島極</v>
      </c>
      <c r="C130" s="83">
        <v>76801</v>
      </c>
      <c r="D130" s="83">
        <v>72009</v>
      </c>
      <c r="E130" s="83">
        <v>71191</v>
      </c>
      <c r="F130">
        <v>6.65</v>
      </c>
      <c r="G130">
        <v>7.88</v>
      </c>
      <c r="H130" s="83">
        <v>663001</v>
      </c>
      <c r="I130" s="83">
        <v>544010</v>
      </c>
      <c r="J130">
        <v>21.87</v>
      </c>
      <c r="K130" t="s">
        <v>627</v>
      </c>
    </row>
    <row r="131" spans="1:11" customFormat="1" hidden="1">
      <c r="A131">
        <v>6245</v>
      </c>
      <c r="B131" t="s">
        <v>857</v>
      </c>
      <c r="C131" s="83">
        <v>507444</v>
      </c>
      <c r="D131" s="83">
        <v>363637</v>
      </c>
      <c r="E131" s="83">
        <v>504603</v>
      </c>
      <c r="F131">
        <v>39.54</v>
      </c>
      <c r="G131">
        <v>0.56000000000000005</v>
      </c>
      <c r="H131" s="83">
        <v>3837694</v>
      </c>
      <c r="I131" s="83">
        <v>3168210</v>
      </c>
      <c r="J131">
        <v>21.13</v>
      </c>
      <c r="K131" t="s">
        <v>627</v>
      </c>
    </row>
    <row r="132" spans="1:11" customFormat="1" hidden="1">
      <c r="A132">
        <v>6241</v>
      </c>
      <c r="B132" t="s">
        <v>523</v>
      </c>
      <c r="C132" s="83">
        <v>20256</v>
      </c>
      <c r="D132" s="83">
        <v>4145</v>
      </c>
      <c r="E132" s="83">
        <v>71342</v>
      </c>
      <c r="F132">
        <v>388.68</v>
      </c>
      <c r="G132">
        <v>-71.599999999999994</v>
      </c>
      <c r="H132" s="83">
        <v>94620</v>
      </c>
      <c r="I132" s="83">
        <v>486343</v>
      </c>
      <c r="J132">
        <v>-80.540000000000006</v>
      </c>
      <c r="K132" t="s">
        <v>856</v>
      </c>
    </row>
    <row r="133" spans="1:11" customFormat="1" hidden="1">
      <c r="A133">
        <v>6240</v>
      </c>
      <c r="B133" t="s">
        <v>966</v>
      </c>
      <c r="C133" s="83">
        <v>18454</v>
      </c>
      <c r="D133" s="83">
        <v>22120</v>
      </c>
      <c r="E133" s="83">
        <v>23975</v>
      </c>
      <c r="F133">
        <v>-16.57</v>
      </c>
      <c r="G133">
        <v>-23.02</v>
      </c>
      <c r="H133" s="83">
        <v>172731</v>
      </c>
      <c r="I133" s="83">
        <v>250503</v>
      </c>
      <c r="J133">
        <v>-31.04</v>
      </c>
      <c r="K133" t="s">
        <v>627</v>
      </c>
    </row>
    <row r="134" spans="1:11" customFormat="1" hidden="1">
      <c r="A134">
        <v>8433</v>
      </c>
      <c r="B134" t="s">
        <v>563</v>
      </c>
      <c r="C134" s="83">
        <v>205525</v>
      </c>
      <c r="D134" s="83">
        <v>186847</v>
      </c>
      <c r="E134" s="83">
        <v>175323</v>
      </c>
      <c r="F134">
        <v>9.99</v>
      </c>
      <c r="G134">
        <v>17.22</v>
      </c>
      <c r="H134" s="83">
        <v>1809136</v>
      </c>
      <c r="I134" s="83">
        <v>1496421</v>
      </c>
      <c r="J134">
        <v>20.89</v>
      </c>
      <c r="K134" t="s">
        <v>627</v>
      </c>
    </row>
    <row r="135" spans="1:11" customFormat="1" hidden="1">
      <c r="A135">
        <v>6237</v>
      </c>
      <c r="B135" t="s">
        <v>522</v>
      </c>
      <c r="C135" s="83">
        <v>29825</v>
      </c>
      <c r="D135" s="83">
        <v>31234</v>
      </c>
      <c r="E135" s="83">
        <v>33551</v>
      </c>
      <c r="F135">
        <v>-4.51</v>
      </c>
      <c r="G135">
        <v>-11.1</v>
      </c>
      <c r="H135" s="83">
        <v>264190</v>
      </c>
      <c r="I135" s="83">
        <v>267961</v>
      </c>
      <c r="J135">
        <v>-1.4</v>
      </c>
      <c r="K135" t="s">
        <v>627</v>
      </c>
    </row>
    <row r="136" spans="1:11" customFormat="1" hidden="1">
      <c r="A136">
        <v>6236</v>
      </c>
      <c r="B136" t="s">
        <v>521</v>
      </c>
      <c r="C136" s="83">
        <v>11626</v>
      </c>
      <c r="D136" s="83">
        <v>8592</v>
      </c>
      <c r="E136" s="83">
        <v>23435</v>
      </c>
      <c r="F136">
        <v>35.31</v>
      </c>
      <c r="G136">
        <v>-50.39</v>
      </c>
      <c r="H136" s="83">
        <v>99026</v>
      </c>
      <c r="I136" s="83">
        <v>170105</v>
      </c>
      <c r="J136">
        <v>-41.78</v>
      </c>
      <c r="K136" t="s">
        <v>1048</v>
      </c>
    </row>
    <row r="137" spans="1:11" customFormat="1" hidden="1">
      <c r="A137">
        <v>6234</v>
      </c>
      <c r="B137" t="s">
        <v>520</v>
      </c>
      <c r="C137" s="83">
        <v>80155</v>
      </c>
      <c r="D137" s="83">
        <v>80377</v>
      </c>
      <c r="E137" s="83">
        <v>93612</v>
      </c>
      <c r="F137">
        <v>-0.27</v>
      </c>
      <c r="G137">
        <v>-14.37</v>
      </c>
      <c r="H137" s="83">
        <v>903644</v>
      </c>
      <c r="I137" s="83">
        <v>625463</v>
      </c>
      <c r="J137">
        <v>44.47</v>
      </c>
      <c r="K137" t="s">
        <v>627</v>
      </c>
    </row>
    <row r="138" spans="1:11" customFormat="1" hidden="1">
      <c r="A138">
        <v>5245</v>
      </c>
      <c r="B138" t="s">
        <v>451</v>
      </c>
      <c r="C138" s="83">
        <v>132101</v>
      </c>
      <c r="D138" s="83">
        <v>125519</v>
      </c>
      <c r="E138" s="83">
        <v>84132</v>
      </c>
      <c r="F138">
        <v>5.24</v>
      </c>
      <c r="G138">
        <v>57.01</v>
      </c>
      <c r="H138" s="83">
        <v>862588</v>
      </c>
      <c r="I138" s="83">
        <v>713696</v>
      </c>
      <c r="J138">
        <v>20.86</v>
      </c>
      <c r="K138" t="s">
        <v>824</v>
      </c>
    </row>
    <row r="139" spans="1:11" customFormat="1" hidden="1">
      <c r="A139">
        <v>6231</v>
      </c>
      <c r="B139" t="s">
        <v>519</v>
      </c>
      <c r="C139" s="83">
        <v>80602</v>
      </c>
      <c r="D139" s="83">
        <v>52267</v>
      </c>
      <c r="E139" s="83">
        <v>81736</v>
      </c>
      <c r="F139">
        <v>54.21</v>
      </c>
      <c r="G139">
        <v>-1.38</v>
      </c>
      <c r="H139" s="83">
        <v>617178</v>
      </c>
      <c r="I139" s="83">
        <v>646818</v>
      </c>
      <c r="J139">
        <v>-4.58</v>
      </c>
      <c r="K139" t="s">
        <v>627</v>
      </c>
    </row>
    <row r="140" spans="1:11" customFormat="1" hidden="1">
      <c r="A140">
        <v>3226</v>
      </c>
      <c r="B140" t="s">
        <v>342</v>
      </c>
      <c r="C140" s="83">
        <v>102008</v>
      </c>
      <c r="D140" s="83">
        <v>75586</v>
      </c>
      <c r="E140" s="83">
        <v>76176</v>
      </c>
      <c r="F140">
        <v>34.950000000000003</v>
      </c>
      <c r="G140">
        <v>33.909999999999997</v>
      </c>
      <c r="H140" s="83">
        <v>796454</v>
      </c>
      <c r="I140" s="83">
        <v>663079</v>
      </c>
      <c r="J140">
        <v>20.11</v>
      </c>
      <c r="K140" t="s">
        <v>627</v>
      </c>
    </row>
    <row r="141" spans="1:11" customFormat="1" hidden="1">
      <c r="A141">
        <v>6228</v>
      </c>
      <c r="B141" t="s">
        <v>795</v>
      </c>
      <c r="C141" s="83">
        <v>10450</v>
      </c>
      <c r="D141" s="83">
        <v>8872</v>
      </c>
      <c r="E141" s="83">
        <v>2639</v>
      </c>
      <c r="F141">
        <v>17.78</v>
      </c>
      <c r="G141">
        <v>295.98</v>
      </c>
      <c r="H141" s="83">
        <v>78924</v>
      </c>
      <c r="I141" s="83">
        <v>84668</v>
      </c>
      <c r="J141">
        <v>-6.78</v>
      </c>
      <c r="K141" t="s">
        <v>796</v>
      </c>
    </row>
    <row r="142" spans="1:11" customFormat="1" hidden="1">
      <c r="A142">
        <v>6411</v>
      </c>
      <c r="B142" t="s">
        <v>535</v>
      </c>
      <c r="C142" s="83">
        <v>181665</v>
      </c>
      <c r="D142" s="83">
        <v>173032</v>
      </c>
      <c r="E142" s="83">
        <v>168822</v>
      </c>
      <c r="F142">
        <v>4.9800000000000004</v>
      </c>
      <c r="G142">
        <v>7.6</v>
      </c>
      <c r="H142" s="83">
        <v>1442887</v>
      </c>
      <c r="I142" s="83">
        <v>1201720</v>
      </c>
      <c r="J142">
        <v>20.059999999999999</v>
      </c>
      <c r="K142" t="s">
        <v>627</v>
      </c>
    </row>
    <row r="143" spans="1:11" customFormat="1" hidden="1">
      <c r="A143">
        <v>6223</v>
      </c>
      <c r="B143" t="s">
        <v>516</v>
      </c>
      <c r="C143" s="83">
        <v>349610</v>
      </c>
      <c r="D143" s="83">
        <v>376702</v>
      </c>
      <c r="E143" s="83">
        <v>425450</v>
      </c>
      <c r="F143">
        <v>-7.19</v>
      </c>
      <c r="G143">
        <v>-17.82</v>
      </c>
      <c r="H143" s="83">
        <v>3009359</v>
      </c>
      <c r="I143" s="83">
        <v>2956858</v>
      </c>
      <c r="J143">
        <v>1.77</v>
      </c>
      <c r="K143" t="s">
        <v>627</v>
      </c>
    </row>
    <row r="144" spans="1:11" customFormat="1" hidden="1">
      <c r="A144">
        <v>6222</v>
      </c>
      <c r="B144" t="s">
        <v>793</v>
      </c>
      <c r="C144" s="83">
        <v>3056</v>
      </c>
      <c r="D144" s="83">
        <v>5701</v>
      </c>
      <c r="E144" s="83">
        <v>8216</v>
      </c>
      <c r="F144">
        <v>-46.39</v>
      </c>
      <c r="G144">
        <v>-62.8</v>
      </c>
      <c r="H144" s="83">
        <v>62443</v>
      </c>
      <c r="I144" s="83">
        <v>146942</v>
      </c>
      <c r="J144">
        <v>-57.5</v>
      </c>
      <c r="K144" t="s">
        <v>794</v>
      </c>
    </row>
    <row r="145" spans="1:11" customFormat="1" hidden="1">
      <c r="A145">
        <v>5315</v>
      </c>
      <c r="B145" t="s">
        <v>825</v>
      </c>
      <c r="C145" s="83">
        <v>228159</v>
      </c>
      <c r="D145" s="83">
        <v>227050</v>
      </c>
      <c r="E145" s="83">
        <v>211534</v>
      </c>
      <c r="F145">
        <v>0.48</v>
      </c>
      <c r="G145">
        <v>7.85</v>
      </c>
      <c r="H145" s="83">
        <v>1964071</v>
      </c>
      <c r="I145" s="83">
        <v>1644304</v>
      </c>
      <c r="J145">
        <v>19.440000000000001</v>
      </c>
      <c r="K145" t="s">
        <v>627</v>
      </c>
    </row>
    <row r="146" spans="1:11" customFormat="1" hidden="1">
      <c r="A146">
        <v>9951</v>
      </c>
      <c r="B146" t="s">
        <v>660</v>
      </c>
      <c r="C146" s="83">
        <v>347401</v>
      </c>
      <c r="D146" s="83">
        <v>300810</v>
      </c>
      <c r="E146" s="83">
        <v>251517</v>
      </c>
      <c r="F146">
        <v>15.48</v>
      </c>
      <c r="G146">
        <v>38.119999999999997</v>
      </c>
      <c r="H146" s="83">
        <v>2709696</v>
      </c>
      <c r="I146" s="83">
        <v>2279390</v>
      </c>
      <c r="J146">
        <v>18.87</v>
      </c>
      <c r="K146" t="s">
        <v>627</v>
      </c>
    </row>
    <row r="147" spans="1:11" customFormat="1" hidden="1">
      <c r="A147">
        <v>6219</v>
      </c>
      <c r="B147" t="s">
        <v>1019</v>
      </c>
      <c r="C147" s="83">
        <v>188776</v>
      </c>
      <c r="D147" s="83">
        <v>28770</v>
      </c>
      <c r="E147" s="83">
        <v>25190</v>
      </c>
      <c r="F147">
        <v>556.15</v>
      </c>
      <c r="G147">
        <v>649.4</v>
      </c>
      <c r="H147" s="83">
        <v>723429</v>
      </c>
      <c r="I147" s="83">
        <v>1026203</v>
      </c>
      <c r="J147">
        <v>-29.5</v>
      </c>
      <c r="K147" t="s">
        <v>1020</v>
      </c>
    </row>
    <row r="148" spans="1:11" customFormat="1" hidden="1">
      <c r="A148">
        <v>6218</v>
      </c>
      <c r="B148" t="s">
        <v>855</v>
      </c>
      <c r="C148" s="83">
        <v>82528</v>
      </c>
      <c r="D148" s="83">
        <v>67134</v>
      </c>
      <c r="E148" s="83">
        <v>69026</v>
      </c>
      <c r="F148">
        <v>22.93</v>
      </c>
      <c r="G148">
        <v>19.559999999999999</v>
      </c>
      <c r="H148" s="83">
        <v>762588</v>
      </c>
      <c r="I148" s="83">
        <v>779834</v>
      </c>
      <c r="J148">
        <v>-2.21</v>
      </c>
      <c r="K148" t="s">
        <v>627</v>
      </c>
    </row>
    <row r="149" spans="1:11" customFormat="1" hidden="1">
      <c r="A149">
        <v>5904</v>
      </c>
      <c r="B149" t="s">
        <v>491</v>
      </c>
      <c r="C149" s="83">
        <v>964314</v>
      </c>
      <c r="D149" s="83">
        <v>878753</v>
      </c>
      <c r="E149" s="83">
        <v>832797</v>
      </c>
      <c r="F149">
        <v>9.73</v>
      </c>
      <c r="G149">
        <v>15.79</v>
      </c>
      <c r="H149" s="83">
        <v>7839498</v>
      </c>
      <c r="I149" s="83">
        <v>6595713</v>
      </c>
      <c r="J149">
        <v>18.850000000000001</v>
      </c>
      <c r="K149" t="s">
        <v>627</v>
      </c>
    </row>
    <row r="150" spans="1:11" customFormat="1" hidden="1">
      <c r="A150">
        <v>5274</v>
      </c>
      <c r="B150" t="s">
        <v>745</v>
      </c>
      <c r="C150" s="83">
        <v>96555</v>
      </c>
      <c r="D150" s="83">
        <v>93240</v>
      </c>
      <c r="E150" s="83">
        <v>67540</v>
      </c>
      <c r="F150">
        <v>3.55</v>
      </c>
      <c r="G150">
        <v>42.95</v>
      </c>
      <c r="H150" s="83">
        <v>734267</v>
      </c>
      <c r="I150" s="83">
        <v>618755</v>
      </c>
      <c r="J150">
        <v>18.66</v>
      </c>
      <c r="K150" t="s">
        <v>627</v>
      </c>
    </row>
    <row r="151" spans="1:11" customFormat="1" hidden="1">
      <c r="A151">
        <v>6211</v>
      </c>
      <c r="B151" t="s">
        <v>919</v>
      </c>
      <c r="C151" s="83">
        <v>35013</v>
      </c>
      <c r="D151" s="83">
        <v>18846</v>
      </c>
      <c r="E151" s="83">
        <v>40976</v>
      </c>
      <c r="F151">
        <v>85.78</v>
      </c>
      <c r="G151">
        <v>-14.55</v>
      </c>
      <c r="H151" s="83">
        <v>228567</v>
      </c>
      <c r="I151" s="83">
        <v>344968</v>
      </c>
      <c r="J151">
        <v>-33.74</v>
      </c>
      <c r="K151" t="s">
        <v>627</v>
      </c>
    </row>
    <row r="152" spans="1:11" customFormat="1" hidden="1">
      <c r="A152">
        <v>6210</v>
      </c>
      <c r="B152" t="s">
        <v>918</v>
      </c>
      <c r="C152" s="83">
        <v>64756</v>
      </c>
      <c r="D152" s="83">
        <v>72715</v>
      </c>
      <c r="E152" s="83">
        <v>107858</v>
      </c>
      <c r="F152">
        <v>-10.94</v>
      </c>
      <c r="G152">
        <v>-39.96</v>
      </c>
      <c r="H152" s="83">
        <v>754210</v>
      </c>
      <c r="I152" s="83">
        <v>749406</v>
      </c>
      <c r="J152">
        <v>0.64</v>
      </c>
      <c r="K152" t="s">
        <v>627</v>
      </c>
    </row>
    <row r="153" spans="1:11" customFormat="1" hidden="1">
      <c r="A153">
        <v>6208</v>
      </c>
      <c r="B153" t="s">
        <v>917</v>
      </c>
      <c r="C153" s="83">
        <v>118807</v>
      </c>
      <c r="D153" s="83">
        <v>94722</v>
      </c>
      <c r="E153" s="83">
        <v>122564</v>
      </c>
      <c r="F153">
        <v>25.42</v>
      </c>
      <c r="G153">
        <v>-3.06</v>
      </c>
      <c r="H153" s="83">
        <v>960341</v>
      </c>
      <c r="I153" s="83">
        <v>1040877</v>
      </c>
      <c r="J153">
        <v>-7.73</v>
      </c>
      <c r="K153" t="s">
        <v>627</v>
      </c>
    </row>
    <row r="154" spans="1:11" customFormat="1" hidden="1">
      <c r="A154">
        <v>6207</v>
      </c>
      <c r="B154" t="s">
        <v>512</v>
      </c>
      <c r="C154" s="83">
        <v>165105</v>
      </c>
      <c r="D154" s="83">
        <v>179568</v>
      </c>
      <c r="E154" s="83">
        <v>193232</v>
      </c>
      <c r="F154">
        <v>-8.0500000000000007</v>
      </c>
      <c r="G154">
        <v>-14.55</v>
      </c>
      <c r="H154" s="83">
        <v>1537653</v>
      </c>
      <c r="I154" s="83">
        <v>1279466</v>
      </c>
      <c r="J154">
        <v>20.170000000000002</v>
      </c>
      <c r="K154" t="s">
        <v>627</v>
      </c>
    </row>
    <row r="155" spans="1:11" customFormat="1" hidden="1">
      <c r="A155">
        <v>6204</v>
      </c>
      <c r="B155" t="s">
        <v>916</v>
      </c>
      <c r="C155" s="83">
        <v>44024</v>
      </c>
      <c r="D155" s="83">
        <v>53998</v>
      </c>
      <c r="E155" s="83">
        <v>59021</v>
      </c>
      <c r="F155">
        <v>-18.47</v>
      </c>
      <c r="G155">
        <v>-25.4</v>
      </c>
      <c r="H155" s="83">
        <v>462824</v>
      </c>
      <c r="I155" s="83">
        <v>503993</v>
      </c>
      <c r="J155">
        <v>-8.16</v>
      </c>
      <c r="K155" t="s">
        <v>627</v>
      </c>
    </row>
    <row r="156" spans="1:11" customFormat="1" hidden="1">
      <c r="A156">
        <v>6203</v>
      </c>
      <c r="B156" t="s">
        <v>511</v>
      </c>
      <c r="C156" s="83">
        <v>145254</v>
      </c>
      <c r="D156" s="83">
        <v>137591</v>
      </c>
      <c r="E156" s="83">
        <v>184841</v>
      </c>
      <c r="F156">
        <v>5.56</v>
      </c>
      <c r="G156">
        <v>-21.41</v>
      </c>
      <c r="H156" s="83">
        <v>1254895</v>
      </c>
      <c r="I156" s="83">
        <v>2063949</v>
      </c>
      <c r="J156">
        <v>-39.19</v>
      </c>
      <c r="K156" t="s">
        <v>627</v>
      </c>
    </row>
    <row r="157" spans="1:11" customFormat="1" hidden="1">
      <c r="A157">
        <v>6199</v>
      </c>
      <c r="B157" t="s">
        <v>1078</v>
      </c>
      <c r="C157" s="83">
        <v>7617</v>
      </c>
      <c r="D157" s="83">
        <v>6824</v>
      </c>
      <c r="E157" s="83">
        <v>12538</v>
      </c>
      <c r="F157">
        <v>11.62</v>
      </c>
      <c r="G157">
        <v>-39.24</v>
      </c>
      <c r="H157" s="83">
        <v>49600</v>
      </c>
      <c r="I157" s="83">
        <v>47054</v>
      </c>
      <c r="J157">
        <v>5.41</v>
      </c>
      <c r="K157" t="s">
        <v>627</v>
      </c>
    </row>
    <row r="158" spans="1:11" customFormat="1" hidden="1">
      <c r="A158">
        <v>6198</v>
      </c>
      <c r="B158" t="s">
        <v>756</v>
      </c>
      <c r="C158" s="83">
        <v>7310</v>
      </c>
      <c r="D158" s="83">
        <v>5348</v>
      </c>
      <c r="E158" s="83">
        <v>6051</v>
      </c>
      <c r="F158">
        <v>36.68</v>
      </c>
      <c r="G158" s="82">
        <v>20.8</v>
      </c>
      <c r="H158" s="83">
        <v>59865</v>
      </c>
      <c r="I158" s="83">
        <v>63953</v>
      </c>
      <c r="J158">
        <v>-6.39</v>
      </c>
      <c r="K158" t="s">
        <v>627</v>
      </c>
    </row>
    <row r="159" spans="1:11" customFormat="1" hidden="1">
      <c r="A159">
        <v>6195</v>
      </c>
      <c r="B159" t="s">
        <v>510</v>
      </c>
      <c r="C159" s="83">
        <v>122972</v>
      </c>
      <c r="D159" s="83">
        <v>119626</v>
      </c>
      <c r="E159" s="83">
        <v>135131</v>
      </c>
      <c r="F159">
        <v>2.79</v>
      </c>
      <c r="G159">
        <v>-8.99</v>
      </c>
      <c r="H159" s="83">
        <v>1165910</v>
      </c>
      <c r="I159" s="83">
        <v>1257480</v>
      </c>
      <c r="J159">
        <v>-7.28</v>
      </c>
      <c r="K159" t="s">
        <v>627</v>
      </c>
    </row>
    <row r="160" spans="1:11" customFormat="1" hidden="1">
      <c r="A160">
        <v>6194</v>
      </c>
      <c r="B160" t="s">
        <v>914</v>
      </c>
      <c r="C160" s="83">
        <v>42999</v>
      </c>
      <c r="D160" s="83">
        <v>27456</v>
      </c>
      <c r="E160" s="83">
        <v>42850</v>
      </c>
      <c r="F160">
        <v>56.61</v>
      </c>
      <c r="G160">
        <v>0.34</v>
      </c>
      <c r="H160" s="83">
        <v>169837</v>
      </c>
      <c r="I160" s="83">
        <v>433758</v>
      </c>
      <c r="J160">
        <v>-60.84</v>
      </c>
      <c r="K160" t="s">
        <v>915</v>
      </c>
    </row>
    <row r="161" spans="1:11" customFormat="1" hidden="1">
      <c r="A161">
        <v>6190</v>
      </c>
      <c r="B161" t="s">
        <v>509</v>
      </c>
      <c r="C161" s="83">
        <v>311153</v>
      </c>
      <c r="D161" s="83">
        <v>312961</v>
      </c>
      <c r="E161" s="83">
        <v>353309</v>
      </c>
      <c r="F161">
        <v>-0.56999999999999995</v>
      </c>
      <c r="G161">
        <v>-11.93</v>
      </c>
      <c r="H161" s="83">
        <v>2996618</v>
      </c>
      <c r="I161" s="83">
        <v>3202693</v>
      </c>
      <c r="J161">
        <v>-6.43</v>
      </c>
      <c r="K161" t="s">
        <v>627</v>
      </c>
    </row>
    <row r="162" spans="1:11" customFormat="1" hidden="1">
      <c r="A162">
        <v>6188</v>
      </c>
      <c r="B162" t="s">
        <v>792</v>
      </c>
      <c r="C162" s="83">
        <v>937640</v>
      </c>
      <c r="D162" s="83">
        <v>882018</v>
      </c>
      <c r="E162" s="83">
        <v>1290315</v>
      </c>
      <c r="F162">
        <v>6.3</v>
      </c>
      <c r="G162">
        <v>-27.33</v>
      </c>
      <c r="H162" s="83">
        <v>8097706</v>
      </c>
      <c r="I162" s="83">
        <v>12146973</v>
      </c>
      <c r="J162">
        <v>-33.33</v>
      </c>
      <c r="K162" t="s">
        <v>627</v>
      </c>
    </row>
    <row r="163" spans="1:11" customFormat="1" hidden="1">
      <c r="A163">
        <v>6187</v>
      </c>
      <c r="B163" t="s">
        <v>990</v>
      </c>
      <c r="C163" s="83">
        <v>92182</v>
      </c>
      <c r="D163" s="83">
        <v>108476</v>
      </c>
      <c r="E163" s="83">
        <v>154554</v>
      </c>
      <c r="F163">
        <v>-15.02</v>
      </c>
      <c r="G163">
        <v>-40.35</v>
      </c>
      <c r="H163" s="83">
        <v>1228942</v>
      </c>
      <c r="I163" s="83">
        <v>1115372</v>
      </c>
      <c r="J163">
        <v>10.18</v>
      </c>
      <c r="K163" t="s">
        <v>627</v>
      </c>
    </row>
    <row r="164" spans="1:11" customFormat="1" hidden="1">
      <c r="A164">
        <v>6186</v>
      </c>
      <c r="B164" t="s">
        <v>508</v>
      </c>
      <c r="C164" s="83">
        <v>10339</v>
      </c>
      <c r="D164" s="83">
        <v>0</v>
      </c>
      <c r="E164" s="83">
        <v>0</v>
      </c>
      <c r="H164" s="83">
        <v>486371</v>
      </c>
      <c r="I164" s="83">
        <v>509774</v>
      </c>
      <c r="J164">
        <v>-4.59</v>
      </c>
      <c r="K164" t="s">
        <v>1017</v>
      </c>
    </row>
    <row r="165" spans="1:11" customFormat="1" hidden="1">
      <c r="A165">
        <v>6185</v>
      </c>
      <c r="B165" t="s">
        <v>913</v>
      </c>
      <c r="C165" s="83">
        <v>132524</v>
      </c>
      <c r="D165" s="83">
        <v>123036</v>
      </c>
      <c r="E165" s="83">
        <v>140982</v>
      </c>
      <c r="F165">
        <v>7.71</v>
      </c>
      <c r="G165">
        <v>-5.99</v>
      </c>
      <c r="H165" s="83">
        <v>1067386</v>
      </c>
      <c r="I165" s="83">
        <v>1236088</v>
      </c>
      <c r="J165">
        <v>-13.64</v>
      </c>
      <c r="K165" t="s">
        <v>627</v>
      </c>
    </row>
    <row r="166" spans="1:11" customFormat="1" hidden="1">
      <c r="A166">
        <v>6182</v>
      </c>
      <c r="B166" t="s">
        <v>507</v>
      </c>
      <c r="C166" s="83">
        <v>471162</v>
      </c>
      <c r="D166" s="83">
        <v>464614</v>
      </c>
      <c r="E166" s="83">
        <v>526572</v>
      </c>
      <c r="F166">
        <v>1.4</v>
      </c>
      <c r="G166">
        <v>-10.52</v>
      </c>
      <c r="H166" s="83">
        <v>4067639</v>
      </c>
      <c r="I166" s="83">
        <v>4532742</v>
      </c>
      <c r="J166">
        <v>-10.26</v>
      </c>
      <c r="K166" t="s">
        <v>627</v>
      </c>
    </row>
    <row r="167" spans="1:11" customFormat="1" hidden="1">
      <c r="A167">
        <v>3206</v>
      </c>
      <c r="B167" t="s">
        <v>876</v>
      </c>
      <c r="C167" s="83">
        <v>154257</v>
      </c>
      <c r="D167" s="83">
        <v>136340</v>
      </c>
      <c r="E167" s="83">
        <v>144761</v>
      </c>
      <c r="F167">
        <v>13.14</v>
      </c>
      <c r="G167">
        <v>6.55</v>
      </c>
      <c r="H167" s="83">
        <v>1192290</v>
      </c>
      <c r="I167" s="83">
        <v>1009895</v>
      </c>
      <c r="J167">
        <v>18.059999999999999</v>
      </c>
      <c r="K167" t="s">
        <v>627</v>
      </c>
    </row>
    <row r="168" spans="1:11" customFormat="1" hidden="1">
      <c r="A168">
        <v>4160</v>
      </c>
      <c r="B168" t="s">
        <v>693</v>
      </c>
      <c r="C168" s="83">
        <v>22211</v>
      </c>
      <c r="D168" s="83">
        <v>20412</v>
      </c>
      <c r="E168" s="83">
        <v>10299</v>
      </c>
      <c r="F168">
        <v>8.81</v>
      </c>
      <c r="G168">
        <v>115.66</v>
      </c>
      <c r="H168" s="83">
        <v>194438</v>
      </c>
      <c r="I168" s="83">
        <v>164988</v>
      </c>
      <c r="J168">
        <v>17.84</v>
      </c>
      <c r="K168" t="s">
        <v>694</v>
      </c>
    </row>
    <row r="169" spans="1:11" customFormat="1" hidden="1">
      <c r="A169">
        <v>6287</v>
      </c>
      <c r="B169" t="s">
        <v>758</v>
      </c>
      <c r="C169" s="83">
        <v>76837</v>
      </c>
      <c r="D169" s="83">
        <v>75310</v>
      </c>
      <c r="E169" s="83">
        <v>64135</v>
      </c>
      <c r="F169">
        <v>2.02</v>
      </c>
      <c r="G169">
        <v>19.8</v>
      </c>
      <c r="H169" s="83">
        <v>613988</v>
      </c>
      <c r="I169" s="83">
        <v>521063</v>
      </c>
      <c r="J169">
        <v>17.829999999999998</v>
      </c>
      <c r="K169" t="s">
        <v>627</v>
      </c>
    </row>
    <row r="170" spans="1:11" customFormat="1" hidden="1">
      <c r="A170">
        <v>6174</v>
      </c>
      <c r="B170" t="s">
        <v>912</v>
      </c>
      <c r="C170" s="83">
        <v>45334</v>
      </c>
      <c r="D170" s="83">
        <v>44745</v>
      </c>
      <c r="E170" s="83">
        <v>46695</v>
      </c>
      <c r="F170">
        <v>1.31</v>
      </c>
      <c r="G170">
        <v>-2.91</v>
      </c>
      <c r="H170" s="83">
        <v>411758</v>
      </c>
      <c r="I170" s="83">
        <v>444897</v>
      </c>
      <c r="J170">
        <v>-7.44</v>
      </c>
      <c r="K170" t="s">
        <v>627</v>
      </c>
    </row>
    <row r="171" spans="1:11" customFormat="1" hidden="1">
      <c r="A171">
        <v>6173</v>
      </c>
      <c r="B171" t="s">
        <v>911</v>
      </c>
      <c r="C171" s="83">
        <v>210538</v>
      </c>
      <c r="D171" s="83">
        <v>204726</v>
      </c>
      <c r="E171" s="83">
        <v>231650</v>
      </c>
      <c r="F171">
        <v>2.83</v>
      </c>
      <c r="G171">
        <v>-9.11</v>
      </c>
      <c r="H171" s="83">
        <v>1782542</v>
      </c>
      <c r="I171" s="83">
        <v>1874908</v>
      </c>
      <c r="J171">
        <v>-4.92</v>
      </c>
      <c r="K171" t="s">
        <v>627</v>
      </c>
    </row>
    <row r="172" spans="1:11" customFormat="1" hidden="1">
      <c r="A172">
        <v>6171</v>
      </c>
      <c r="B172" t="s">
        <v>504</v>
      </c>
      <c r="C172" s="83">
        <v>14</v>
      </c>
      <c r="D172" s="83">
        <v>14</v>
      </c>
      <c r="E172" s="83">
        <v>14</v>
      </c>
      <c r="F172">
        <v>0</v>
      </c>
      <c r="G172">
        <v>0</v>
      </c>
      <c r="H172" s="83">
        <v>80237</v>
      </c>
      <c r="I172" s="83">
        <v>72</v>
      </c>
      <c r="J172" s="113">
        <v>111340.27</v>
      </c>
      <c r="K172" t="s">
        <v>949</v>
      </c>
    </row>
    <row r="173" spans="1:11" customFormat="1" hidden="1">
      <c r="A173">
        <v>6170</v>
      </c>
      <c r="B173" t="s">
        <v>503</v>
      </c>
      <c r="C173" s="83">
        <v>267137</v>
      </c>
      <c r="D173" s="83">
        <v>290479</v>
      </c>
      <c r="E173" s="83">
        <v>350436</v>
      </c>
      <c r="F173">
        <v>-8.0299999999999994</v>
      </c>
      <c r="G173">
        <v>-23.77</v>
      </c>
      <c r="H173" s="83">
        <v>2739120</v>
      </c>
      <c r="I173" s="83">
        <v>3505577</v>
      </c>
      <c r="J173">
        <v>-21.86</v>
      </c>
      <c r="K173" t="s">
        <v>627</v>
      </c>
    </row>
    <row r="174" spans="1:11" customFormat="1" hidden="1">
      <c r="A174">
        <v>6169</v>
      </c>
      <c r="B174" t="s">
        <v>1072</v>
      </c>
      <c r="C174" s="83">
        <v>20760</v>
      </c>
      <c r="D174" s="83">
        <v>11590</v>
      </c>
      <c r="E174" s="83">
        <v>14647</v>
      </c>
      <c r="F174">
        <v>79.11</v>
      </c>
      <c r="G174">
        <v>41.73</v>
      </c>
      <c r="H174" s="83">
        <v>135203</v>
      </c>
      <c r="I174" s="83">
        <v>180075</v>
      </c>
      <c r="J174">
        <v>-24.91</v>
      </c>
      <c r="K174" t="s">
        <v>627</v>
      </c>
    </row>
    <row r="175" spans="1:11" customFormat="1" hidden="1">
      <c r="A175">
        <v>6167</v>
      </c>
      <c r="B175" t="s">
        <v>829</v>
      </c>
      <c r="C175" s="83">
        <v>163808</v>
      </c>
      <c r="D175" s="83">
        <v>168190</v>
      </c>
      <c r="E175" s="83">
        <v>194324</v>
      </c>
      <c r="F175">
        <v>-2.6</v>
      </c>
      <c r="G175">
        <v>-15.7</v>
      </c>
      <c r="H175" s="83">
        <v>1404733</v>
      </c>
      <c r="I175" s="83">
        <v>1561174</v>
      </c>
      <c r="J175">
        <v>-10.02</v>
      </c>
      <c r="K175" t="s">
        <v>830</v>
      </c>
    </row>
    <row r="176" spans="1:11" customFormat="1" hidden="1">
      <c r="A176">
        <v>6163</v>
      </c>
      <c r="B176" t="s">
        <v>502</v>
      </c>
      <c r="C176" s="83">
        <v>151423</v>
      </c>
      <c r="D176" s="83">
        <v>160569</v>
      </c>
      <c r="E176" s="83">
        <v>305997</v>
      </c>
      <c r="F176">
        <v>-5.69</v>
      </c>
      <c r="G176">
        <v>-50.51</v>
      </c>
      <c r="H176" s="83">
        <v>2420901</v>
      </c>
      <c r="I176" s="83">
        <v>2275812</v>
      </c>
      <c r="J176">
        <v>6.37</v>
      </c>
      <c r="K176" t="s">
        <v>854</v>
      </c>
    </row>
    <row r="177" spans="1:11" customFormat="1" hidden="1">
      <c r="A177">
        <v>6161</v>
      </c>
      <c r="B177" t="s">
        <v>501</v>
      </c>
      <c r="C177" s="83">
        <v>254879</v>
      </c>
      <c r="D177" s="83">
        <v>215989</v>
      </c>
      <c r="E177" s="83">
        <v>277721</v>
      </c>
      <c r="F177">
        <v>18</v>
      </c>
      <c r="G177">
        <v>-8.2200000000000006</v>
      </c>
      <c r="H177" s="83">
        <v>2222883</v>
      </c>
      <c r="I177" s="83">
        <v>3317105</v>
      </c>
      <c r="J177">
        <v>-32.979999999999997</v>
      </c>
      <c r="K177" t="s">
        <v>627</v>
      </c>
    </row>
    <row r="178" spans="1:11" customFormat="1" hidden="1">
      <c r="A178">
        <v>6160</v>
      </c>
      <c r="B178" t="s">
        <v>791</v>
      </c>
      <c r="C178" s="83">
        <v>84671</v>
      </c>
      <c r="D178" s="83">
        <v>80926</v>
      </c>
      <c r="E178" s="83">
        <v>81406</v>
      </c>
      <c r="F178">
        <v>4.62</v>
      </c>
      <c r="G178">
        <v>4.01</v>
      </c>
      <c r="H178" s="83">
        <v>751091</v>
      </c>
      <c r="I178" s="83">
        <v>989065</v>
      </c>
      <c r="J178">
        <v>-24.06</v>
      </c>
      <c r="K178" t="s">
        <v>627</v>
      </c>
    </row>
    <row r="179" spans="1:11" customFormat="1" hidden="1">
      <c r="A179">
        <v>6158</v>
      </c>
      <c r="B179" t="s">
        <v>500</v>
      </c>
      <c r="C179" s="83">
        <v>211465</v>
      </c>
      <c r="D179" s="83">
        <v>211162</v>
      </c>
      <c r="E179" s="83">
        <v>251707</v>
      </c>
      <c r="F179">
        <v>0.14000000000000001</v>
      </c>
      <c r="G179">
        <v>-15.98</v>
      </c>
      <c r="H179" s="83">
        <v>1675517</v>
      </c>
      <c r="I179" s="83">
        <v>2291734</v>
      </c>
      <c r="J179">
        <v>-26.88</v>
      </c>
      <c r="K179" t="s">
        <v>627</v>
      </c>
    </row>
    <row r="180" spans="1:11" customFormat="1" hidden="1">
      <c r="A180">
        <v>6156</v>
      </c>
      <c r="B180" t="s">
        <v>910</v>
      </c>
      <c r="C180" s="83">
        <v>324121</v>
      </c>
      <c r="D180" s="83">
        <v>357847</v>
      </c>
      <c r="E180" s="83">
        <v>445422</v>
      </c>
      <c r="F180">
        <v>-9.42</v>
      </c>
      <c r="G180">
        <v>-27.23</v>
      </c>
      <c r="H180" s="83">
        <v>3081975</v>
      </c>
      <c r="I180" s="83">
        <v>2791096</v>
      </c>
      <c r="J180">
        <v>10.42</v>
      </c>
      <c r="K180" t="s">
        <v>627</v>
      </c>
    </row>
    <row r="181" spans="1:11" customFormat="1" hidden="1">
      <c r="A181">
        <v>6154</v>
      </c>
      <c r="B181" t="s">
        <v>499</v>
      </c>
      <c r="C181" s="83">
        <v>476537</v>
      </c>
      <c r="D181" s="83">
        <v>506728</v>
      </c>
      <c r="E181" s="83">
        <v>522511</v>
      </c>
      <c r="F181">
        <v>-5.95</v>
      </c>
      <c r="G181">
        <v>-8.7899999999999991</v>
      </c>
      <c r="H181" s="83">
        <v>4012807</v>
      </c>
      <c r="I181" s="83">
        <v>4175962</v>
      </c>
      <c r="J181">
        <v>-3.9</v>
      </c>
      <c r="K181" t="s">
        <v>627</v>
      </c>
    </row>
    <row r="182" spans="1:11" customFormat="1" hidden="1">
      <c r="A182">
        <v>6151</v>
      </c>
      <c r="B182" t="s">
        <v>989</v>
      </c>
      <c r="C182" s="83">
        <v>158785</v>
      </c>
      <c r="D182" s="83">
        <v>165944</v>
      </c>
      <c r="E182" s="83">
        <v>165891</v>
      </c>
      <c r="F182">
        <v>-4.3099999999999996</v>
      </c>
      <c r="G182">
        <v>-4.28</v>
      </c>
      <c r="H182" s="83">
        <v>1483077</v>
      </c>
      <c r="I182" s="83">
        <v>1544151</v>
      </c>
      <c r="J182">
        <v>-3.95</v>
      </c>
      <c r="K182" t="s">
        <v>627</v>
      </c>
    </row>
    <row r="183" spans="1:11" customFormat="1" hidden="1">
      <c r="A183">
        <v>6150</v>
      </c>
      <c r="B183" t="s">
        <v>790</v>
      </c>
      <c r="C183" s="83">
        <v>221058</v>
      </c>
      <c r="D183" s="83">
        <v>189553</v>
      </c>
      <c r="E183" s="83">
        <v>365889</v>
      </c>
      <c r="F183">
        <v>16.62</v>
      </c>
      <c r="G183">
        <v>-39.58</v>
      </c>
      <c r="H183" s="83">
        <v>1980549</v>
      </c>
      <c r="I183" s="83">
        <v>3078944</v>
      </c>
      <c r="J183">
        <v>-35.67</v>
      </c>
      <c r="K183" t="s">
        <v>627</v>
      </c>
    </row>
    <row r="184" spans="1:11" customFormat="1" hidden="1">
      <c r="A184">
        <v>6147</v>
      </c>
      <c r="B184" t="s">
        <v>755</v>
      </c>
      <c r="C184" s="83">
        <v>1401325</v>
      </c>
      <c r="D184" s="83">
        <v>1460844</v>
      </c>
      <c r="E184" s="83">
        <v>1607903</v>
      </c>
      <c r="F184">
        <v>-4.07</v>
      </c>
      <c r="G184">
        <v>-12.84</v>
      </c>
      <c r="H184" s="83">
        <v>12922097</v>
      </c>
      <c r="I184" s="83">
        <v>13183296</v>
      </c>
      <c r="J184">
        <v>-1.98</v>
      </c>
      <c r="K184" t="s">
        <v>627</v>
      </c>
    </row>
    <row r="185" spans="1:11" customFormat="1" hidden="1">
      <c r="A185">
        <v>6146</v>
      </c>
      <c r="B185" t="s">
        <v>498</v>
      </c>
      <c r="C185" s="83">
        <v>282048</v>
      </c>
      <c r="D185" s="83">
        <v>281308</v>
      </c>
      <c r="E185" s="83">
        <v>285202</v>
      </c>
      <c r="F185">
        <v>0.26</v>
      </c>
      <c r="G185">
        <v>-1.1000000000000001</v>
      </c>
      <c r="H185" s="83">
        <v>2415952</v>
      </c>
      <c r="I185" s="83">
        <v>2159042</v>
      </c>
      <c r="J185">
        <v>11.89</v>
      </c>
      <c r="K185" t="s">
        <v>627</v>
      </c>
    </row>
    <row r="186" spans="1:11" customFormat="1" hidden="1">
      <c r="A186">
        <v>5457</v>
      </c>
      <c r="B186" t="s">
        <v>477</v>
      </c>
      <c r="C186" s="83">
        <v>214168</v>
      </c>
      <c r="D186" s="83">
        <v>194551</v>
      </c>
      <c r="E186" s="83">
        <v>180326</v>
      </c>
      <c r="F186">
        <v>10.08</v>
      </c>
      <c r="G186">
        <v>18.760000000000002</v>
      </c>
      <c r="H186" s="83">
        <v>1748151</v>
      </c>
      <c r="I186" s="83">
        <v>1492850</v>
      </c>
      <c r="J186">
        <v>17.100000000000001</v>
      </c>
      <c r="K186" t="s">
        <v>627</v>
      </c>
    </row>
    <row r="187" spans="1:11" customFormat="1" hidden="1">
      <c r="A187">
        <v>6140</v>
      </c>
      <c r="B187" t="s">
        <v>965</v>
      </c>
      <c r="C187" s="83">
        <v>105721</v>
      </c>
      <c r="D187" s="83">
        <v>121557</v>
      </c>
      <c r="E187" s="83">
        <v>139259</v>
      </c>
      <c r="F187">
        <v>-13.02</v>
      </c>
      <c r="G187">
        <v>-24.08</v>
      </c>
      <c r="H187" s="83">
        <v>1017552</v>
      </c>
      <c r="I187" s="83">
        <v>983022</v>
      </c>
      <c r="J187">
        <v>3.51</v>
      </c>
      <c r="K187" t="s">
        <v>627</v>
      </c>
    </row>
    <row r="188" spans="1:11" customFormat="1" hidden="1">
      <c r="A188">
        <v>6138</v>
      </c>
      <c r="B188" t="s">
        <v>754</v>
      </c>
      <c r="C188" s="83">
        <v>299673</v>
      </c>
      <c r="D188" s="83">
        <v>251786</v>
      </c>
      <c r="E188" s="83">
        <v>303471</v>
      </c>
      <c r="F188">
        <v>19.010000000000002</v>
      </c>
      <c r="G188">
        <v>-1.25</v>
      </c>
      <c r="H188" s="83">
        <v>2143912</v>
      </c>
      <c r="I188" s="83">
        <v>2719955</v>
      </c>
      <c r="J188">
        <v>-21.17</v>
      </c>
      <c r="K188" t="s">
        <v>627</v>
      </c>
    </row>
    <row r="189" spans="1:11" customFormat="1" hidden="1">
      <c r="A189">
        <v>6135</v>
      </c>
      <c r="B189" t="s">
        <v>947</v>
      </c>
      <c r="C189" s="83">
        <v>20354</v>
      </c>
      <c r="D189" s="83">
        <v>41030</v>
      </c>
      <c r="E189" s="83">
        <v>552077</v>
      </c>
      <c r="F189">
        <v>-50.39</v>
      </c>
      <c r="G189">
        <v>-96.31</v>
      </c>
      <c r="H189" s="83">
        <v>3732837</v>
      </c>
      <c r="I189" s="83">
        <v>4198867</v>
      </c>
      <c r="J189">
        <v>-11.09</v>
      </c>
      <c r="K189" t="s">
        <v>948</v>
      </c>
    </row>
    <row r="190" spans="1:11" customFormat="1" hidden="1">
      <c r="A190">
        <v>6130</v>
      </c>
      <c r="B190" t="s">
        <v>497</v>
      </c>
      <c r="C190" s="83">
        <v>21619</v>
      </c>
      <c r="D190" s="83">
        <v>18247</v>
      </c>
      <c r="E190" s="83">
        <v>25028</v>
      </c>
      <c r="F190">
        <v>18.47</v>
      </c>
      <c r="G190">
        <v>-13.62</v>
      </c>
      <c r="H190" s="83">
        <v>185335</v>
      </c>
      <c r="I190" s="83">
        <v>231642</v>
      </c>
      <c r="J190">
        <v>-19.989999999999998</v>
      </c>
      <c r="K190" t="s">
        <v>627</v>
      </c>
    </row>
    <row r="191" spans="1:11" customFormat="1" hidden="1">
      <c r="A191">
        <v>3114</v>
      </c>
      <c r="B191" t="s">
        <v>873</v>
      </c>
      <c r="C191" s="83">
        <v>209142</v>
      </c>
      <c r="D191" s="83">
        <v>166663</v>
      </c>
      <c r="E191" s="83">
        <v>154195</v>
      </c>
      <c r="F191">
        <v>25.48</v>
      </c>
      <c r="G191">
        <v>35.630000000000003</v>
      </c>
      <c r="H191" s="83">
        <v>1465969</v>
      </c>
      <c r="I191" s="83">
        <v>1261113</v>
      </c>
      <c r="J191">
        <v>16.239999999999998</v>
      </c>
      <c r="K191" t="s">
        <v>627</v>
      </c>
    </row>
    <row r="192" spans="1:11" customFormat="1" hidden="1">
      <c r="A192">
        <v>6126</v>
      </c>
      <c r="B192" t="s">
        <v>907</v>
      </c>
      <c r="C192" s="83">
        <v>287235</v>
      </c>
      <c r="D192" s="83">
        <v>244861</v>
      </c>
      <c r="E192" s="83">
        <v>318482</v>
      </c>
      <c r="F192">
        <v>17.3</v>
      </c>
      <c r="G192">
        <v>-9.81</v>
      </c>
      <c r="H192" s="83">
        <v>2131983</v>
      </c>
      <c r="I192" s="83">
        <v>2738538</v>
      </c>
      <c r="J192">
        <v>-22.14</v>
      </c>
      <c r="K192" t="s">
        <v>627</v>
      </c>
    </row>
    <row r="193" spans="1:11" customFormat="1" hidden="1">
      <c r="A193">
        <v>6125</v>
      </c>
      <c r="B193" t="s">
        <v>496</v>
      </c>
      <c r="C193" s="83">
        <v>1070121</v>
      </c>
      <c r="D193" s="83">
        <v>877994</v>
      </c>
      <c r="E193" s="83">
        <v>802590</v>
      </c>
      <c r="F193" s="113">
        <v>21.88</v>
      </c>
      <c r="G193" s="113">
        <v>33.33</v>
      </c>
      <c r="H193" s="83">
        <v>7408756</v>
      </c>
      <c r="I193" s="83">
        <v>7429907</v>
      </c>
      <c r="J193">
        <v>-0.28000000000000003</v>
      </c>
      <c r="K193" t="s">
        <v>627</v>
      </c>
    </row>
    <row r="194" spans="1:11" customFormat="1" hidden="1">
      <c r="A194">
        <v>6124</v>
      </c>
      <c r="B194" t="s">
        <v>906</v>
      </c>
      <c r="C194" s="83">
        <v>164015</v>
      </c>
      <c r="D194" s="83">
        <v>162566</v>
      </c>
      <c r="E194" s="83">
        <v>158689</v>
      </c>
      <c r="F194">
        <v>0.89</v>
      </c>
      <c r="G194">
        <v>3.35</v>
      </c>
      <c r="H194" s="83">
        <v>1251414</v>
      </c>
      <c r="I194" s="83">
        <v>1452546</v>
      </c>
      <c r="J194">
        <v>-13.84</v>
      </c>
      <c r="K194" t="s">
        <v>627</v>
      </c>
    </row>
    <row r="195" spans="1:11" customFormat="1" hidden="1">
      <c r="A195">
        <v>6123</v>
      </c>
      <c r="B195" t="s">
        <v>789</v>
      </c>
      <c r="C195" s="83">
        <v>338396</v>
      </c>
      <c r="D195" s="83">
        <v>314948</v>
      </c>
      <c r="E195" s="83">
        <v>415971</v>
      </c>
      <c r="F195">
        <v>7.44</v>
      </c>
      <c r="G195">
        <v>-18.64</v>
      </c>
      <c r="H195" s="83">
        <v>2674885</v>
      </c>
      <c r="I195" s="83">
        <v>3014631</v>
      </c>
      <c r="J195">
        <v>-11.26</v>
      </c>
      <c r="K195" t="s">
        <v>627</v>
      </c>
    </row>
    <row r="196" spans="1:11" customFormat="1" hidden="1">
      <c r="A196">
        <v>8420</v>
      </c>
      <c r="B196" t="s">
        <v>558</v>
      </c>
      <c r="C196" s="83">
        <v>100825</v>
      </c>
      <c r="D196" s="83">
        <v>89317</v>
      </c>
      <c r="E196" s="83">
        <v>67596</v>
      </c>
      <c r="F196">
        <v>12.88</v>
      </c>
      <c r="G196">
        <v>49.15</v>
      </c>
      <c r="H196" s="83">
        <v>947859</v>
      </c>
      <c r="I196" s="83">
        <v>815904</v>
      </c>
      <c r="J196">
        <v>16.170000000000002</v>
      </c>
      <c r="K196" t="s">
        <v>627</v>
      </c>
    </row>
    <row r="197" spans="1:11" customFormat="1" hidden="1">
      <c r="A197">
        <v>6118</v>
      </c>
      <c r="B197" t="s">
        <v>946</v>
      </c>
      <c r="C197" s="83">
        <v>559716</v>
      </c>
      <c r="D197" s="83">
        <v>643398</v>
      </c>
      <c r="E197" s="83">
        <v>787613</v>
      </c>
      <c r="F197">
        <v>-13</v>
      </c>
      <c r="G197">
        <v>-28.93</v>
      </c>
      <c r="H197" s="83">
        <v>5422845</v>
      </c>
      <c r="I197" s="83">
        <v>5990865</v>
      </c>
      <c r="J197">
        <v>-9.48</v>
      </c>
      <c r="K197" t="s">
        <v>627</v>
      </c>
    </row>
    <row r="198" spans="1:11" customFormat="1" hidden="1">
      <c r="A198">
        <v>4523</v>
      </c>
      <c r="B198" t="s">
        <v>651</v>
      </c>
      <c r="C198" s="83">
        <v>147474</v>
      </c>
      <c r="D198" s="83">
        <v>115454</v>
      </c>
      <c r="E198" s="83">
        <v>106854</v>
      </c>
      <c r="F198">
        <v>27.73</v>
      </c>
      <c r="G198">
        <v>38.01</v>
      </c>
      <c r="H198" s="83">
        <v>1153512</v>
      </c>
      <c r="I198" s="83">
        <v>996512</v>
      </c>
      <c r="J198">
        <v>15.75</v>
      </c>
      <c r="K198" t="s">
        <v>627</v>
      </c>
    </row>
    <row r="199" spans="1:11" customFormat="1" hidden="1">
      <c r="A199">
        <v>6113</v>
      </c>
      <c r="B199" t="s">
        <v>945</v>
      </c>
      <c r="C199" s="83">
        <v>123331</v>
      </c>
      <c r="D199" s="83">
        <v>150596</v>
      </c>
      <c r="E199" s="83">
        <v>145523</v>
      </c>
      <c r="F199">
        <v>-18.100000000000001</v>
      </c>
      <c r="G199">
        <v>-15.24</v>
      </c>
      <c r="H199" s="83">
        <v>1248018</v>
      </c>
      <c r="I199" s="83">
        <v>1208940</v>
      </c>
      <c r="J199">
        <v>3.23</v>
      </c>
      <c r="K199" t="s">
        <v>627</v>
      </c>
    </row>
    <row r="200" spans="1:11" customFormat="1" hidden="1">
      <c r="A200">
        <v>3479</v>
      </c>
      <c r="B200" t="s">
        <v>775</v>
      </c>
      <c r="C200" s="83">
        <v>461833</v>
      </c>
      <c r="D200" s="83">
        <v>410937</v>
      </c>
      <c r="E200" s="83">
        <v>360766</v>
      </c>
      <c r="F200">
        <v>12.38</v>
      </c>
      <c r="G200">
        <v>28.01</v>
      </c>
      <c r="H200" s="83">
        <v>3089507</v>
      </c>
      <c r="I200" s="83">
        <v>2673858</v>
      </c>
      <c r="J200">
        <v>15.54</v>
      </c>
      <c r="K200" t="s">
        <v>627</v>
      </c>
    </row>
    <row r="201" spans="1:11" customFormat="1" hidden="1">
      <c r="A201">
        <v>6109</v>
      </c>
      <c r="B201" t="s">
        <v>853</v>
      </c>
      <c r="C201" s="83">
        <v>167240</v>
      </c>
      <c r="D201" s="83">
        <v>166173</v>
      </c>
      <c r="E201" s="83">
        <v>185388</v>
      </c>
      <c r="F201">
        <v>0.64</v>
      </c>
      <c r="G201">
        <v>-9.7799999999999994</v>
      </c>
      <c r="H201" s="83">
        <v>1530730</v>
      </c>
      <c r="I201" s="83">
        <v>1757903</v>
      </c>
      <c r="J201">
        <v>-12.92</v>
      </c>
      <c r="K201" t="s">
        <v>627</v>
      </c>
    </row>
    <row r="202" spans="1:11" customFormat="1" hidden="1">
      <c r="A202">
        <v>6107</v>
      </c>
      <c r="B202" t="s">
        <v>904</v>
      </c>
      <c r="C202" s="83">
        <v>737040</v>
      </c>
      <c r="D202" s="83">
        <v>507556</v>
      </c>
      <c r="E202" s="83">
        <v>1114093</v>
      </c>
      <c r="F202">
        <v>45.21</v>
      </c>
      <c r="G202">
        <v>-33.840000000000003</v>
      </c>
      <c r="H202" s="83">
        <v>4949984</v>
      </c>
      <c r="I202" s="83">
        <v>4654209</v>
      </c>
      <c r="J202">
        <v>6.35</v>
      </c>
      <c r="K202" t="s">
        <v>627</v>
      </c>
    </row>
    <row r="203" spans="1:11" customFormat="1" hidden="1">
      <c r="A203">
        <v>6105</v>
      </c>
      <c r="B203" t="s">
        <v>788</v>
      </c>
      <c r="C203" s="83">
        <v>516885</v>
      </c>
      <c r="D203" s="83">
        <v>436452</v>
      </c>
      <c r="E203" s="83">
        <v>541568</v>
      </c>
      <c r="F203">
        <v>18.420000000000002</v>
      </c>
      <c r="G203">
        <v>-4.55</v>
      </c>
      <c r="H203" s="83">
        <v>4219148</v>
      </c>
      <c r="I203" s="83">
        <v>4255654</v>
      </c>
      <c r="J203">
        <v>-0.85</v>
      </c>
      <c r="K203" t="s">
        <v>627</v>
      </c>
    </row>
    <row r="204" spans="1:11" customFormat="1" hidden="1">
      <c r="A204">
        <v>6104</v>
      </c>
      <c r="B204" t="s">
        <v>753</v>
      </c>
      <c r="C204" s="83">
        <v>151949</v>
      </c>
      <c r="D204" s="83">
        <v>132770</v>
      </c>
      <c r="E204" s="83">
        <v>221725</v>
      </c>
      <c r="F204">
        <v>14.44</v>
      </c>
      <c r="G204">
        <v>-31.46</v>
      </c>
      <c r="H204" s="83">
        <v>1413748</v>
      </c>
      <c r="I204" s="83">
        <v>1673597</v>
      </c>
      <c r="J204">
        <v>-15.52</v>
      </c>
      <c r="K204" t="s">
        <v>627</v>
      </c>
    </row>
    <row r="205" spans="1:11" customFormat="1" hidden="1">
      <c r="A205">
        <v>5878</v>
      </c>
      <c r="B205" t="s">
        <v>489</v>
      </c>
      <c r="C205" s="83">
        <v>60518</v>
      </c>
      <c r="D205" s="83">
        <v>56600</v>
      </c>
      <c r="E205" s="83">
        <v>54108</v>
      </c>
      <c r="F205">
        <v>6.92</v>
      </c>
      <c r="G205">
        <v>11.84</v>
      </c>
      <c r="H205" s="83">
        <v>440522</v>
      </c>
      <c r="I205" s="83">
        <v>381816</v>
      </c>
      <c r="J205">
        <v>15.37</v>
      </c>
      <c r="K205" t="s">
        <v>627</v>
      </c>
    </row>
    <row r="206" spans="1:11" customFormat="1" hidden="1">
      <c r="A206">
        <v>6024</v>
      </c>
      <c r="B206" t="s">
        <v>494</v>
      </c>
      <c r="C206" s="83">
        <v>145655</v>
      </c>
      <c r="D206" s="83">
        <v>209629</v>
      </c>
      <c r="E206" s="83">
        <v>264506</v>
      </c>
      <c r="F206">
        <v>-30.51</v>
      </c>
      <c r="G206">
        <v>-44.93</v>
      </c>
      <c r="H206" s="83">
        <v>1149160</v>
      </c>
      <c r="I206" s="83">
        <v>904009</v>
      </c>
      <c r="J206">
        <v>27.11</v>
      </c>
      <c r="K206" t="s">
        <v>627</v>
      </c>
    </row>
    <row r="207" spans="1:11" customFormat="1" hidden="1">
      <c r="A207">
        <v>3570</v>
      </c>
      <c r="B207" t="s">
        <v>957</v>
      </c>
      <c r="C207" s="83">
        <v>82968</v>
      </c>
      <c r="D207" s="83">
        <v>71985</v>
      </c>
      <c r="E207" s="83">
        <v>61524</v>
      </c>
      <c r="F207">
        <v>15.25</v>
      </c>
      <c r="G207">
        <v>34.85</v>
      </c>
      <c r="H207" s="83">
        <v>731049</v>
      </c>
      <c r="I207" s="83">
        <v>634314</v>
      </c>
      <c r="J207">
        <v>15.25</v>
      </c>
      <c r="K207" t="s">
        <v>627</v>
      </c>
    </row>
    <row r="208" spans="1:11" customFormat="1" hidden="1">
      <c r="A208">
        <v>6022</v>
      </c>
      <c r="B208" t="s">
        <v>1037</v>
      </c>
      <c r="C208" s="83">
        <v>43625</v>
      </c>
      <c r="D208" s="83">
        <v>29161</v>
      </c>
      <c r="E208" s="83">
        <v>41163</v>
      </c>
      <c r="F208">
        <v>49.6</v>
      </c>
      <c r="G208">
        <v>5.98</v>
      </c>
      <c r="H208" s="83">
        <v>555144</v>
      </c>
      <c r="I208" s="83">
        <v>802810</v>
      </c>
      <c r="J208">
        <v>-30.84</v>
      </c>
      <c r="K208" t="s">
        <v>627</v>
      </c>
    </row>
    <row r="209" spans="1:11" customFormat="1" hidden="1">
      <c r="A209">
        <v>6021</v>
      </c>
      <c r="B209" t="s">
        <v>493</v>
      </c>
      <c r="C209" s="83">
        <v>46678</v>
      </c>
      <c r="D209" s="83">
        <v>-23860</v>
      </c>
      <c r="E209" s="83">
        <v>4986</v>
      </c>
      <c r="F209">
        <v>295.63</v>
      </c>
      <c r="G209">
        <v>836.18</v>
      </c>
      <c r="H209" s="83">
        <v>297894</v>
      </c>
      <c r="I209" s="83">
        <v>450629</v>
      </c>
      <c r="J209">
        <v>-33.89</v>
      </c>
      <c r="K209" t="s">
        <v>1036</v>
      </c>
    </row>
    <row r="210" spans="1:11" customFormat="1" hidden="1">
      <c r="A210">
        <v>6020</v>
      </c>
      <c r="B210" t="s">
        <v>492</v>
      </c>
      <c r="C210" s="83">
        <v>31520</v>
      </c>
      <c r="D210" s="83">
        <v>-16315</v>
      </c>
      <c r="E210" s="83">
        <v>-36543</v>
      </c>
      <c r="F210">
        <v>293.19</v>
      </c>
      <c r="G210">
        <v>186.25</v>
      </c>
      <c r="H210" s="83">
        <v>26987</v>
      </c>
      <c r="I210" s="83">
        <v>307409</v>
      </c>
      <c r="J210">
        <v>-91.22</v>
      </c>
      <c r="K210" t="s">
        <v>1035</v>
      </c>
    </row>
    <row r="211" spans="1:11" customFormat="1" hidden="1">
      <c r="A211">
        <v>6016</v>
      </c>
      <c r="B211" t="s">
        <v>1033</v>
      </c>
      <c r="C211" s="83">
        <v>259816</v>
      </c>
      <c r="D211" s="83">
        <v>131933</v>
      </c>
      <c r="E211" s="83">
        <v>106772</v>
      </c>
      <c r="F211">
        <v>96.93</v>
      </c>
      <c r="G211">
        <v>143.33000000000001</v>
      </c>
      <c r="H211" s="83">
        <v>1760230</v>
      </c>
      <c r="I211" s="83">
        <v>1827117</v>
      </c>
      <c r="J211">
        <v>-3.66</v>
      </c>
      <c r="K211" t="s">
        <v>1034</v>
      </c>
    </row>
    <row r="212" spans="1:11" customFormat="1" hidden="1">
      <c r="A212">
        <v>6015</v>
      </c>
      <c r="B212" t="s">
        <v>1031</v>
      </c>
      <c r="C212" s="83">
        <v>109985</v>
      </c>
      <c r="D212" s="83">
        <v>-31846</v>
      </c>
      <c r="E212" s="83">
        <v>38814</v>
      </c>
      <c r="F212">
        <v>445.36</v>
      </c>
      <c r="G212">
        <v>183.36</v>
      </c>
      <c r="H212" s="83">
        <v>305863</v>
      </c>
      <c r="I212" s="83">
        <v>847722</v>
      </c>
      <c r="J212">
        <v>-63.91</v>
      </c>
      <c r="K212" t="s">
        <v>1032</v>
      </c>
    </row>
    <row r="213" spans="1:11" customFormat="1" hidden="1">
      <c r="A213">
        <v>4420</v>
      </c>
      <c r="B213" t="s">
        <v>639</v>
      </c>
      <c r="C213" s="83">
        <v>80646</v>
      </c>
      <c r="D213" s="83">
        <v>62215</v>
      </c>
      <c r="E213" s="83">
        <v>31122</v>
      </c>
      <c r="F213">
        <v>29.62</v>
      </c>
      <c r="G213" s="82">
        <v>159.12</v>
      </c>
      <c r="H213" s="83">
        <v>368547</v>
      </c>
      <c r="I213" s="83">
        <v>321359</v>
      </c>
      <c r="J213">
        <v>14.68</v>
      </c>
      <c r="K213" t="s">
        <v>640</v>
      </c>
    </row>
    <row r="214" spans="1:11" customFormat="1" hidden="1">
      <c r="A214">
        <v>5903</v>
      </c>
      <c r="B214" t="s">
        <v>1040</v>
      </c>
      <c r="C214" s="83">
        <v>4889420</v>
      </c>
      <c r="D214" s="83">
        <v>5176344</v>
      </c>
      <c r="E214" s="83">
        <v>4894011</v>
      </c>
      <c r="F214">
        <v>-5.54</v>
      </c>
      <c r="G214">
        <v>-0.09</v>
      </c>
      <c r="H214" s="83">
        <v>43425656</v>
      </c>
      <c r="I214" s="83">
        <v>42442966</v>
      </c>
      <c r="J214">
        <v>2.31</v>
      </c>
      <c r="K214" t="s">
        <v>627</v>
      </c>
    </row>
    <row r="215" spans="1:11" customFormat="1" hidden="1">
      <c r="A215">
        <v>5902</v>
      </c>
      <c r="B215" t="s">
        <v>490</v>
      </c>
      <c r="C215" s="83">
        <v>164571</v>
      </c>
      <c r="D215" s="83">
        <v>183210</v>
      </c>
      <c r="E215" s="83">
        <v>194830</v>
      </c>
      <c r="F215">
        <v>-10.17</v>
      </c>
      <c r="G215">
        <v>-15.53</v>
      </c>
      <c r="H215" s="83">
        <v>1505288</v>
      </c>
      <c r="I215" s="83">
        <v>1560295</v>
      </c>
      <c r="J215">
        <v>-3.52</v>
      </c>
      <c r="K215" t="s">
        <v>627</v>
      </c>
    </row>
    <row r="216" spans="1:11" customFormat="1" hidden="1">
      <c r="A216">
        <v>6227</v>
      </c>
      <c r="B216" t="s">
        <v>517</v>
      </c>
      <c r="C216" s="83">
        <v>735383</v>
      </c>
      <c r="D216" s="83">
        <v>485310</v>
      </c>
      <c r="E216" s="83">
        <v>379336</v>
      </c>
      <c r="F216" s="82">
        <v>51.52</v>
      </c>
      <c r="G216">
        <v>93.86</v>
      </c>
      <c r="H216" s="83">
        <v>3673182</v>
      </c>
      <c r="I216" s="83">
        <v>3212418</v>
      </c>
      <c r="J216">
        <v>14.34</v>
      </c>
      <c r="K216" t="s">
        <v>950</v>
      </c>
    </row>
    <row r="217" spans="1:11" customFormat="1" hidden="1">
      <c r="A217">
        <v>5820</v>
      </c>
      <c r="B217" t="s">
        <v>1030</v>
      </c>
      <c r="C217" s="83">
        <v>681354</v>
      </c>
      <c r="D217" s="83">
        <v>652761</v>
      </c>
      <c r="E217" s="83">
        <v>576923</v>
      </c>
      <c r="F217">
        <v>4.38</v>
      </c>
      <c r="G217">
        <v>18.100000000000001</v>
      </c>
      <c r="H217" s="83">
        <v>5667025</v>
      </c>
      <c r="I217" s="83">
        <v>6043501</v>
      </c>
      <c r="J217">
        <v>-6.22</v>
      </c>
      <c r="K217" t="s">
        <v>627</v>
      </c>
    </row>
    <row r="218" spans="1:11" customFormat="1" hidden="1">
      <c r="A218">
        <v>5704</v>
      </c>
      <c r="B218" t="s">
        <v>1029</v>
      </c>
      <c r="C218" s="83">
        <v>22701</v>
      </c>
      <c r="D218" s="83">
        <v>31017</v>
      </c>
      <c r="E218" s="83">
        <v>24245</v>
      </c>
      <c r="F218">
        <v>-26.81</v>
      </c>
      <c r="G218">
        <v>-6.36</v>
      </c>
      <c r="H218" s="83">
        <v>243743</v>
      </c>
      <c r="I218" s="83">
        <v>260960</v>
      </c>
      <c r="J218">
        <v>-6.59</v>
      </c>
      <c r="K218" t="s">
        <v>627</v>
      </c>
    </row>
    <row r="219" spans="1:11" customFormat="1" hidden="1">
      <c r="A219">
        <v>5703</v>
      </c>
      <c r="B219" t="s">
        <v>1028</v>
      </c>
      <c r="C219" s="83">
        <v>79144</v>
      </c>
      <c r="D219" s="83">
        <v>78316</v>
      </c>
      <c r="E219" s="83">
        <v>80746</v>
      </c>
      <c r="F219">
        <v>1.05</v>
      </c>
      <c r="G219">
        <v>-1.98</v>
      </c>
      <c r="H219" s="83">
        <v>749734</v>
      </c>
      <c r="I219" s="83">
        <v>755980</v>
      </c>
      <c r="J219">
        <v>-0.82</v>
      </c>
      <c r="K219" t="s">
        <v>627</v>
      </c>
    </row>
    <row r="220" spans="1:11" customFormat="1" hidden="1">
      <c r="A220">
        <v>5609</v>
      </c>
      <c r="B220" t="s">
        <v>488</v>
      </c>
      <c r="C220" s="83">
        <v>1263306</v>
      </c>
      <c r="D220" s="83">
        <v>1181807</v>
      </c>
      <c r="E220" s="83">
        <v>1352748</v>
      </c>
      <c r="F220">
        <v>6.89</v>
      </c>
      <c r="G220">
        <v>-6.61</v>
      </c>
      <c r="H220" s="83">
        <v>10902430</v>
      </c>
      <c r="I220" s="83">
        <v>11596747</v>
      </c>
      <c r="J220">
        <v>-5.98</v>
      </c>
      <c r="K220" t="s">
        <v>627</v>
      </c>
    </row>
    <row r="221" spans="1:11" customFormat="1" hidden="1">
      <c r="A221">
        <v>5603</v>
      </c>
      <c r="B221" t="s">
        <v>487</v>
      </c>
      <c r="C221" s="83">
        <v>151998</v>
      </c>
      <c r="D221" s="83">
        <v>158512</v>
      </c>
      <c r="E221" s="83">
        <v>210306</v>
      </c>
      <c r="F221">
        <v>-4.0999999999999996</v>
      </c>
      <c r="G221">
        <v>-27.72</v>
      </c>
      <c r="H221" s="83">
        <v>1511391</v>
      </c>
      <c r="I221" s="83">
        <v>1872505</v>
      </c>
      <c r="J221">
        <v>-19.28</v>
      </c>
      <c r="K221" t="s">
        <v>627</v>
      </c>
    </row>
    <row r="222" spans="1:11" customFormat="1" hidden="1">
      <c r="A222">
        <v>4102</v>
      </c>
      <c r="B222" t="s">
        <v>677</v>
      </c>
      <c r="C222" s="83">
        <v>35544</v>
      </c>
      <c r="D222" s="83">
        <v>20331</v>
      </c>
      <c r="E222" s="83">
        <v>21147</v>
      </c>
      <c r="F222" s="82">
        <v>74.819999999999993</v>
      </c>
      <c r="G222">
        <v>68.08</v>
      </c>
      <c r="H222" s="83">
        <v>232475</v>
      </c>
      <c r="I222" s="83">
        <v>203346</v>
      </c>
      <c r="J222">
        <v>14.32</v>
      </c>
      <c r="K222" t="s">
        <v>678</v>
      </c>
    </row>
    <row r="223" spans="1:11" customFormat="1" hidden="1">
      <c r="A223">
        <v>6121</v>
      </c>
      <c r="B223" t="s">
        <v>495</v>
      </c>
      <c r="C223" s="83">
        <v>5684182</v>
      </c>
      <c r="D223" s="83">
        <v>5322915</v>
      </c>
      <c r="E223" s="83">
        <v>5401150</v>
      </c>
      <c r="F223">
        <v>6.78</v>
      </c>
      <c r="G223">
        <v>5.24</v>
      </c>
      <c r="H223" s="83">
        <v>46799996</v>
      </c>
      <c r="I223" s="83">
        <v>40984214</v>
      </c>
      <c r="J223">
        <v>14.19</v>
      </c>
      <c r="K223" t="s">
        <v>627</v>
      </c>
    </row>
    <row r="224" spans="1:11" customFormat="1" hidden="1">
      <c r="A224">
        <v>5529</v>
      </c>
      <c r="B224" t="s">
        <v>1015</v>
      </c>
      <c r="C224" s="83">
        <v>466</v>
      </c>
      <c r="D224" s="83">
        <v>469</v>
      </c>
      <c r="E224" s="83">
        <v>13237</v>
      </c>
      <c r="F224">
        <v>-0.63</v>
      </c>
      <c r="G224">
        <v>-96.47</v>
      </c>
      <c r="H224" s="83">
        <v>19265</v>
      </c>
      <c r="I224" s="83">
        <v>341755</v>
      </c>
      <c r="J224">
        <v>-94.36</v>
      </c>
      <c r="K224" t="s">
        <v>1016</v>
      </c>
    </row>
    <row r="225" spans="1:11" customFormat="1" hidden="1">
      <c r="A225">
        <v>5523</v>
      </c>
      <c r="B225" t="s">
        <v>485</v>
      </c>
      <c r="C225" s="83">
        <v>299</v>
      </c>
      <c r="D225" s="83">
        <v>299</v>
      </c>
      <c r="E225" s="83">
        <v>3170</v>
      </c>
      <c r="F225">
        <v>0</v>
      </c>
      <c r="G225">
        <v>-90.56</v>
      </c>
      <c r="H225" s="83">
        <v>2319</v>
      </c>
      <c r="I225" s="83">
        <v>58472</v>
      </c>
      <c r="J225">
        <v>-96.03</v>
      </c>
      <c r="K225" t="s">
        <v>1014</v>
      </c>
    </row>
    <row r="226" spans="1:11" customFormat="1" hidden="1">
      <c r="A226">
        <v>5520</v>
      </c>
      <c r="B226" t="s">
        <v>1013</v>
      </c>
      <c r="C226" s="83">
        <v>178351</v>
      </c>
      <c r="D226" s="83">
        <v>169172</v>
      </c>
      <c r="E226" s="83">
        <v>192415</v>
      </c>
      <c r="F226">
        <v>5.42</v>
      </c>
      <c r="G226">
        <v>-7.3</v>
      </c>
      <c r="H226" s="83">
        <v>1740365</v>
      </c>
      <c r="I226" s="83">
        <v>1797898</v>
      </c>
      <c r="J226">
        <v>-3.2</v>
      </c>
      <c r="K226" t="s">
        <v>627</v>
      </c>
    </row>
    <row r="227" spans="1:11" customFormat="1" hidden="1">
      <c r="A227">
        <v>5516</v>
      </c>
      <c r="B227" t="s">
        <v>1011</v>
      </c>
      <c r="C227" s="83">
        <v>88804</v>
      </c>
      <c r="D227" s="83">
        <v>37879</v>
      </c>
      <c r="E227" s="83">
        <v>41955</v>
      </c>
      <c r="F227">
        <v>134.44</v>
      </c>
      <c r="G227">
        <v>111.66</v>
      </c>
      <c r="H227" s="83">
        <v>417595</v>
      </c>
      <c r="I227" s="83">
        <v>430512</v>
      </c>
      <c r="J227">
        <v>-3</v>
      </c>
      <c r="K227" t="s">
        <v>1012</v>
      </c>
    </row>
    <row r="228" spans="1:11" customFormat="1" hidden="1">
      <c r="A228">
        <v>5514</v>
      </c>
      <c r="B228" t="s">
        <v>1009</v>
      </c>
      <c r="C228" s="83">
        <v>384</v>
      </c>
      <c r="D228" s="83">
        <v>384</v>
      </c>
      <c r="E228" s="83">
        <v>59586</v>
      </c>
      <c r="F228">
        <v>0</v>
      </c>
      <c r="G228">
        <v>-99.35</v>
      </c>
      <c r="H228" s="83">
        <v>3405</v>
      </c>
      <c r="I228" s="83">
        <v>1460733</v>
      </c>
      <c r="J228">
        <v>-99.76</v>
      </c>
      <c r="K228" t="s">
        <v>1010</v>
      </c>
    </row>
    <row r="229" spans="1:11" customFormat="1" hidden="1">
      <c r="A229">
        <v>5512</v>
      </c>
      <c r="B229" t="s">
        <v>484</v>
      </c>
      <c r="C229" s="83">
        <v>149087</v>
      </c>
      <c r="D229" s="83">
        <v>128381</v>
      </c>
      <c r="E229" s="83">
        <v>311993</v>
      </c>
      <c r="F229">
        <v>16.12</v>
      </c>
      <c r="G229">
        <v>-52.21</v>
      </c>
      <c r="H229" s="83">
        <v>1243032</v>
      </c>
      <c r="I229" s="83">
        <v>5493476</v>
      </c>
      <c r="J229">
        <v>-77.37</v>
      </c>
      <c r="K229" t="s">
        <v>1008</v>
      </c>
    </row>
    <row r="230" spans="1:11" customFormat="1" hidden="1">
      <c r="A230">
        <v>5511</v>
      </c>
      <c r="B230" t="s">
        <v>1007</v>
      </c>
      <c r="C230" s="83">
        <v>268321</v>
      </c>
      <c r="D230" s="83">
        <v>251263</v>
      </c>
      <c r="E230" s="83">
        <v>362354</v>
      </c>
      <c r="F230">
        <v>6.78</v>
      </c>
      <c r="G230">
        <v>-25.95</v>
      </c>
      <c r="H230" s="83">
        <v>2756039</v>
      </c>
      <c r="I230" s="83">
        <v>3317669</v>
      </c>
      <c r="J230">
        <v>-16.920000000000002</v>
      </c>
      <c r="K230" t="s">
        <v>627</v>
      </c>
    </row>
    <row r="231" spans="1:11" customFormat="1" hidden="1">
      <c r="A231">
        <v>5508</v>
      </c>
      <c r="B231" t="s">
        <v>1005</v>
      </c>
      <c r="C231" s="83">
        <v>175594</v>
      </c>
      <c r="D231" s="83">
        <v>45779</v>
      </c>
      <c r="E231" s="83">
        <v>542526</v>
      </c>
      <c r="F231">
        <v>283.56</v>
      </c>
      <c r="G231">
        <v>-67.63</v>
      </c>
      <c r="H231" s="83">
        <v>1420616</v>
      </c>
      <c r="I231" s="83">
        <v>3463419</v>
      </c>
      <c r="J231">
        <v>-58.98</v>
      </c>
      <c r="K231" t="s">
        <v>1006</v>
      </c>
    </row>
    <row r="232" spans="1:11" customFormat="1" hidden="1">
      <c r="A232">
        <v>5506</v>
      </c>
      <c r="B232" t="s">
        <v>483</v>
      </c>
      <c r="C232" s="83">
        <v>217080</v>
      </c>
      <c r="D232" s="83">
        <v>258922</v>
      </c>
      <c r="E232" s="83">
        <v>325519</v>
      </c>
      <c r="F232">
        <v>-16.16</v>
      </c>
      <c r="G232" s="113">
        <v>-33.31</v>
      </c>
      <c r="H232" s="83">
        <v>2880679</v>
      </c>
      <c r="I232" s="83">
        <v>2825967</v>
      </c>
      <c r="J232">
        <v>1.93</v>
      </c>
      <c r="K232" t="s">
        <v>627</v>
      </c>
    </row>
    <row r="233" spans="1:11" customFormat="1" hidden="1">
      <c r="A233">
        <v>5498</v>
      </c>
      <c r="B233" t="s">
        <v>903</v>
      </c>
      <c r="C233" s="83">
        <v>74789</v>
      </c>
      <c r="D233" s="83">
        <v>77764</v>
      </c>
      <c r="E233" s="83">
        <v>125072</v>
      </c>
      <c r="F233">
        <v>-3.82</v>
      </c>
      <c r="G233">
        <v>-40.200000000000003</v>
      </c>
      <c r="H233" s="83">
        <v>673925</v>
      </c>
      <c r="I233" s="83">
        <v>1009509</v>
      </c>
      <c r="J233">
        <v>-33.24</v>
      </c>
      <c r="K233" t="s">
        <v>627</v>
      </c>
    </row>
    <row r="234" spans="1:11" customFormat="1" hidden="1">
      <c r="A234">
        <v>4198</v>
      </c>
      <c r="B234" t="s">
        <v>417</v>
      </c>
      <c r="C234" s="83">
        <v>66586</v>
      </c>
      <c r="D234" s="83">
        <v>28601</v>
      </c>
      <c r="E234" s="83">
        <v>41302</v>
      </c>
      <c r="F234" s="82">
        <v>132.81</v>
      </c>
      <c r="G234">
        <v>61.21</v>
      </c>
      <c r="H234" s="83">
        <v>484158</v>
      </c>
      <c r="I234" s="83">
        <v>426376</v>
      </c>
      <c r="J234">
        <v>13.55</v>
      </c>
      <c r="K234" t="s">
        <v>707</v>
      </c>
    </row>
    <row r="235" spans="1:11" customFormat="1" hidden="1">
      <c r="A235">
        <v>5491</v>
      </c>
      <c r="B235" t="s">
        <v>902</v>
      </c>
      <c r="C235" s="83">
        <v>729422</v>
      </c>
      <c r="D235" s="83">
        <v>690537</v>
      </c>
      <c r="E235" s="83">
        <v>845434</v>
      </c>
      <c r="F235">
        <v>5.63</v>
      </c>
      <c r="G235">
        <v>-13.72</v>
      </c>
      <c r="H235" s="83">
        <v>6017783</v>
      </c>
      <c r="I235" s="83">
        <v>6942333</v>
      </c>
      <c r="J235">
        <v>-13.31</v>
      </c>
      <c r="K235" t="s">
        <v>627</v>
      </c>
    </row>
    <row r="236" spans="1:11" customFormat="1" hidden="1">
      <c r="A236">
        <v>5490</v>
      </c>
      <c r="B236" t="s">
        <v>482</v>
      </c>
      <c r="C236" s="83">
        <v>196477</v>
      </c>
      <c r="D236" s="83">
        <v>229571</v>
      </c>
      <c r="E236" s="83">
        <v>212368</v>
      </c>
      <c r="F236">
        <v>-14.41</v>
      </c>
      <c r="G236">
        <v>-7.48</v>
      </c>
      <c r="H236" s="83">
        <v>2310652</v>
      </c>
      <c r="I236" s="83">
        <v>1171240</v>
      </c>
      <c r="J236">
        <v>97.28</v>
      </c>
      <c r="K236" t="s">
        <v>787</v>
      </c>
    </row>
    <row r="237" spans="1:11" customFormat="1" hidden="1">
      <c r="A237">
        <v>5489</v>
      </c>
      <c r="B237" t="s">
        <v>986</v>
      </c>
      <c r="C237" s="83">
        <v>212666</v>
      </c>
      <c r="D237" s="83">
        <v>216116</v>
      </c>
      <c r="E237" s="83">
        <v>260732</v>
      </c>
      <c r="F237">
        <v>-1.59</v>
      </c>
      <c r="G237">
        <v>-18.43</v>
      </c>
      <c r="H237" s="83">
        <v>1691991</v>
      </c>
      <c r="I237" s="83">
        <v>1951992</v>
      </c>
      <c r="J237">
        <v>-13.31</v>
      </c>
      <c r="K237" t="s">
        <v>627</v>
      </c>
    </row>
    <row r="238" spans="1:11" customFormat="1" hidden="1">
      <c r="A238">
        <v>5488</v>
      </c>
      <c r="B238" t="s">
        <v>901</v>
      </c>
      <c r="C238" s="83">
        <v>150522</v>
      </c>
      <c r="D238" s="83">
        <v>167597</v>
      </c>
      <c r="E238" s="83">
        <v>197366</v>
      </c>
      <c r="F238">
        <v>-10.18</v>
      </c>
      <c r="G238">
        <v>-23.73</v>
      </c>
      <c r="H238" s="83">
        <v>1488077</v>
      </c>
      <c r="I238" s="83">
        <v>1553191</v>
      </c>
      <c r="J238">
        <v>-4.1900000000000004</v>
      </c>
      <c r="K238" t="s">
        <v>627</v>
      </c>
    </row>
    <row r="239" spans="1:11" customFormat="1" hidden="1">
      <c r="A239">
        <v>5487</v>
      </c>
      <c r="B239" t="s">
        <v>481</v>
      </c>
      <c r="C239" s="83">
        <v>26431</v>
      </c>
      <c r="D239" s="83">
        <v>25395</v>
      </c>
      <c r="E239" s="83">
        <v>26416</v>
      </c>
      <c r="F239">
        <v>4.07</v>
      </c>
      <c r="G239">
        <v>0.05</v>
      </c>
      <c r="H239" s="83">
        <v>230029</v>
      </c>
      <c r="I239" s="83">
        <v>232269</v>
      </c>
      <c r="J239">
        <v>-0.96</v>
      </c>
      <c r="K239" t="s">
        <v>627</v>
      </c>
    </row>
    <row r="240" spans="1:11" customFormat="1" hidden="1">
      <c r="A240">
        <v>5483</v>
      </c>
      <c r="B240" t="s">
        <v>750</v>
      </c>
      <c r="C240" s="83">
        <v>2474008</v>
      </c>
      <c r="D240" s="83">
        <v>2441718</v>
      </c>
      <c r="E240" s="83">
        <v>2504726</v>
      </c>
      <c r="F240">
        <v>1.32</v>
      </c>
      <c r="G240">
        <v>-1.22</v>
      </c>
      <c r="H240" s="83">
        <v>21270442</v>
      </c>
      <c r="I240" s="83">
        <v>20562278</v>
      </c>
      <c r="J240">
        <v>3.44</v>
      </c>
      <c r="K240" t="s">
        <v>627</v>
      </c>
    </row>
    <row r="241" spans="1:11" customFormat="1" hidden="1">
      <c r="A241">
        <v>5481</v>
      </c>
      <c r="B241" t="s">
        <v>899</v>
      </c>
      <c r="C241" s="83">
        <v>383</v>
      </c>
      <c r="D241" s="83">
        <v>1152</v>
      </c>
      <c r="E241" s="83">
        <v>19140</v>
      </c>
      <c r="F241">
        <v>-66.75</v>
      </c>
      <c r="G241">
        <v>-97.99</v>
      </c>
      <c r="H241" s="83">
        <v>74991</v>
      </c>
      <c r="I241" s="83">
        <v>193208</v>
      </c>
      <c r="J241">
        <v>-61.18</v>
      </c>
      <c r="K241" t="s">
        <v>900</v>
      </c>
    </row>
    <row r="242" spans="1:11" customFormat="1" hidden="1">
      <c r="A242">
        <v>5478</v>
      </c>
      <c r="B242" t="s">
        <v>480</v>
      </c>
      <c r="C242" s="83">
        <v>1132739</v>
      </c>
      <c r="D242" s="83">
        <v>1320737</v>
      </c>
      <c r="E242" s="83">
        <v>1059971</v>
      </c>
      <c r="F242">
        <v>-14.23</v>
      </c>
      <c r="G242">
        <v>6.86</v>
      </c>
      <c r="H242" s="83">
        <v>11225709</v>
      </c>
      <c r="I242" s="83">
        <v>11404266</v>
      </c>
      <c r="J242">
        <v>-1.56</v>
      </c>
      <c r="K242" t="s">
        <v>627</v>
      </c>
    </row>
    <row r="243" spans="1:11" customFormat="1" hidden="1">
      <c r="A243">
        <v>5475</v>
      </c>
      <c r="B243" t="s">
        <v>898</v>
      </c>
      <c r="C243" s="83">
        <v>204856</v>
      </c>
      <c r="D243" s="83">
        <v>188731</v>
      </c>
      <c r="E243" s="83">
        <v>235630</v>
      </c>
      <c r="F243">
        <v>8.5399999999999991</v>
      </c>
      <c r="G243">
        <v>-13.06</v>
      </c>
      <c r="H243" s="83">
        <v>1855575</v>
      </c>
      <c r="I243" s="83">
        <v>2239394</v>
      </c>
      <c r="J243">
        <v>-17.13</v>
      </c>
      <c r="K243" t="s">
        <v>627</v>
      </c>
    </row>
    <row r="244" spans="1:11" customFormat="1" hidden="1">
      <c r="A244">
        <v>1264</v>
      </c>
      <c r="B244" t="s">
        <v>303</v>
      </c>
      <c r="C244" s="83">
        <v>342750</v>
      </c>
      <c r="D244" s="83">
        <v>327251</v>
      </c>
      <c r="E244" s="83">
        <v>288395</v>
      </c>
      <c r="F244">
        <v>4.7300000000000004</v>
      </c>
      <c r="G244">
        <v>18.84</v>
      </c>
      <c r="H244" s="83">
        <v>2838570</v>
      </c>
      <c r="I244" s="83">
        <v>2501631</v>
      </c>
      <c r="J244">
        <v>13.46</v>
      </c>
      <c r="K244" t="s">
        <v>627</v>
      </c>
    </row>
    <row r="245" spans="1:11" customFormat="1" hidden="1">
      <c r="A245">
        <v>5468</v>
      </c>
      <c r="B245" t="s">
        <v>479</v>
      </c>
      <c r="C245" s="83">
        <v>36820</v>
      </c>
      <c r="D245" s="83">
        <v>37088</v>
      </c>
      <c r="E245" s="83">
        <v>41578</v>
      </c>
      <c r="F245">
        <v>-0.72</v>
      </c>
      <c r="G245">
        <v>-11.44</v>
      </c>
      <c r="H245" s="83">
        <v>354952</v>
      </c>
      <c r="I245" s="83">
        <v>358769</v>
      </c>
      <c r="J245">
        <v>-1.06</v>
      </c>
      <c r="K245" t="s">
        <v>627</v>
      </c>
    </row>
    <row r="246" spans="1:11" customFormat="1" hidden="1">
      <c r="A246">
        <v>5465</v>
      </c>
      <c r="B246" t="s">
        <v>478</v>
      </c>
      <c r="C246" s="83">
        <v>180981</v>
      </c>
      <c r="D246" s="83">
        <v>177873</v>
      </c>
      <c r="E246" s="83">
        <v>212961</v>
      </c>
      <c r="F246">
        <v>1.74</v>
      </c>
      <c r="G246">
        <v>-15.01</v>
      </c>
      <c r="H246" s="83">
        <v>1867024</v>
      </c>
      <c r="I246" s="83">
        <v>1662309</v>
      </c>
      <c r="J246">
        <v>12.31</v>
      </c>
      <c r="K246" t="s">
        <v>785</v>
      </c>
    </row>
    <row r="247" spans="1:11" customFormat="1" hidden="1">
      <c r="A247">
        <v>5464</v>
      </c>
      <c r="B247" t="s">
        <v>897</v>
      </c>
      <c r="C247" s="83">
        <v>78892</v>
      </c>
      <c r="D247" s="83">
        <v>91905</v>
      </c>
      <c r="E247" s="83">
        <v>107016</v>
      </c>
      <c r="F247">
        <v>-14.15</v>
      </c>
      <c r="G247">
        <v>-26.28</v>
      </c>
      <c r="H247" s="83">
        <v>1021872</v>
      </c>
      <c r="I247" s="83">
        <v>1093770</v>
      </c>
      <c r="J247">
        <v>-6.57</v>
      </c>
      <c r="K247" t="s">
        <v>627</v>
      </c>
    </row>
    <row r="248" spans="1:11" customFormat="1" hidden="1">
      <c r="A248">
        <v>5460</v>
      </c>
      <c r="B248" t="s">
        <v>896</v>
      </c>
      <c r="C248" s="83">
        <v>68720</v>
      </c>
      <c r="D248" s="83">
        <v>72297</v>
      </c>
      <c r="E248" s="83">
        <v>88868</v>
      </c>
      <c r="F248">
        <v>-4.9400000000000004</v>
      </c>
      <c r="G248">
        <v>-22.67</v>
      </c>
      <c r="H248" s="83">
        <v>738164</v>
      </c>
      <c r="I248" s="83">
        <v>807101</v>
      </c>
      <c r="J248">
        <v>-8.5399999999999991</v>
      </c>
      <c r="K248" t="s">
        <v>627</v>
      </c>
    </row>
    <row r="249" spans="1:11" customFormat="1" hidden="1">
      <c r="A249">
        <v>3324</v>
      </c>
      <c r="B249" t="s">
        <v>971</v>
      </c>
      <c r="C249" s="83">
        <v>530311</v>
      </c>
      <c r="D249" s="83">
        <v>438543</v>
      </c>
      <c r="E249" s="83">
        <v>381350</v>
      </c>
      <c r="F249">
        <v>20.92</v>
      </c>
      <c r="G249">
        <v>39.06</v>
      </c>
      <c r="H249" s="83">
        <v>3375894</v>
      </c>
      <c r="I249" s="83">
        <v>2982629</v>
      </c>
      <c r="J249">
        <v>13.18</v>
      </c>
      <c r="K249" t="s">
        <v>627</v>
      </c>
    </row>
    <row r="250" spans="1:11" customFormat="1" hidden="1">
      <c r="A250">
        <v>5455</v>
      </c>
      <c r="B250" t="s">
        <v>476</v>
      </c>
      <c r="C250" s="83">
        <v>522</v>
      </c>
      <c r="D250" s="83">
        <v>524</v>
      </c>
      <c r="E250" s="83">
        <v>2747</v>
      </c>
      <c r="F250">
        <v>-0.38</v>
      </c>
      <c r="G250">
        <v>-80.989999999999995</v>
      </c>
      <c r="H250" s="83">
        <v>13188</v>
      </c>
      <c r="I250" s="83">
        <v>26968</v>
      </c>
      <c r="J250">
        <v>-51.09</v>
      </c>
      <c r="K250" t="s">
        <v>749</v>
      </c>
    </row>
    <row r="251" spans="1:11" customFormat="1" hidden="1">
      <c r="A251">
        <v>5452</v>
      </c>
      <c r="B251" t="s">
        <v>475</v>
      </c>
      <c r="C251" s="83">
        <v>510505</v>
      </c>
      <c r="D251" s="83">
        <v>466047</v>
      </c>
      <c r="E251" s="83">
        <v>623340</v>
      </c>
      <c r="F251">
        <v>9.5299999999999994</v>
      </c>
      <c r="G251">
        <v>-18.100000000000001</v>
      </c>
      <c r="H251" s="83">
        <v>4240414</v>
      </c>
      <c r="I251" s="83">
        <v>5581677</v>
      </c>
      <c r="J251">
        <v>-24.02</v>
      </c>
      <c r="K251" t="s">
        <v>627</v>
      </c>
    </row>
    <row r="252" spans="1:11" customFormat="1" hidden="1">
      <c r="A252">
        <v>5450</v>
      </c>
      <c r="B252" t="s">
        <v>474</v>
      </c>
      <c r="C252" s="83">
        <v>74028</v>
      </c>
      <c r="D252" s="83">
        <v>57436</v>
      </c>
      <c r="E252" s="83">
        <v>82292</v>
      </c>
      <c r="F252">
        <v>28.88</v>
      </c>
      <c r="G252">
        <v>-10.039999999999999</v>
      </c>
      <c r="H252" s="83">
        <v>557032</v>
      </c>
      <c r="I252" s="83">
        <v>635357</v>
      </c>
      <c r="J252">
        <v>-12.32</v>
      </c>
      <c r="K252" t="s">
        <v>627</v>
      </c>
    </row>
    <row r="253" spans="1:11" customFormat="1" hidden="1">
      <c r="A253">
        <v>3491</v>
      </c>
      <c r="B253" t="s">
        <v>846</v>
      </c>
      <c r="C253" s="83">
        <v>137447</v>
      </c>
      <c r="D253" s="83">
        <v>122716</v>
      </c>
      <c r="E253" s="83">
        <v>123356</v>
      </c>
      <c r="F253">
        <v>12</v>
      </c>
      <c r="G253">
        <v>11.42</v>
      </c>
      <c r="H253" s="83">
        <v>1053701</v>
      </c>
      <c r="I253" s="83">
        <v>937700</v>
      </c>
      <c r="J253">
        <v>12.37</v>
      </c>
      <c r="K253" t="s">
        <v>627</v>
      </c>
    </row>
    <row r="254" spans="1:11" customFormat="1" hidden="1">
      <c r="A254">
        <v>4107</v>
      </c>
      <c r="B254" t="s">
        <v>681</v>
      </c>
      <c r="C254" s="83">
        <v>101351</v>
      </c>
      <c r="D254" s="83">
        <v>100109</v>
      </c>
      <c r="E254" s="83">
        <v>100054</v>
      </c>
      <c r="F254">
        <v>1.24</v>
      </c>
      <c r="G254">
        <v>1.29</v>
      </c>
      <c r="H254" s="83">
        <v>918849</v>
      </c>
      <c r="I254" s="83">
        <v>821677</v>
      </c>
      <c r="J254">
        <v>11.82</v>
      </c>
      <c r="K254" t="s">
        <v>627</v>
      </c>
    </row>
    <row r="255" spans="1:11" customFormat="1" hidden="1">
      <c r="A255">
        <v>5438</v>
      </c>
      <c r="B255" t="s">
        <v>784</v>
      </c>
      <c r="C255" s="83">
        <v>268961</v>
      </c>
      <c r="D255" s="83">
        <v>229825</v>
      </c>
      <c r="E255" s="83">
        <v>185228</v>
      </c>
      <c r="F255">
        <v>17.02</v>
      </c>
      <c r="G255">
        <v>45.2</v>
      </c>
      <c r="H255" s="83">
        <v>1849243</v>
      </c>
      <c r="I255" s="83">
        <v>2010137</v>
      </c>
      <c r="J255">
        <v>-8</v>
      </c>
      <c r="K255" t="s">
        <v>627</v>
      </c>
    </row>
    <row r="256" spans="1:11" customFormat="1" hidden="1">
      <c r="A256">
        <v>5432</v>
      </c>
      <c r="B256" t="s">
        <v>828</v>
      </c>
      <c r="C256" s="83">
        <v>8720</v>
      </c>
      <c r="D256" s="83">
        <v>9620</v>
      </c>
      <c r="E256" s="83">
        <v>10470</v>
      </c>
      <c r="F256">
        <v>-9.35</v>
      </c>
      <c r="G256">
        <v>-16.71</v>
      </c>
      <c r="H256" s="83">
        <v>94614</v>
      </c>
      <c r="I256" s="83">
        <v>108942</v>
      </c>
      <c r="J256">
        <v>-13.15</v>
      </c>
      <c r="K256" t="s">
        <v>627</v>
      </c>
    </row>
    <row r="257" spans="1:11" customFormat="1" hidden="1">
      <c r="A257">
        <v>5426</v>
      </c>
      <c r="B257" t="s">
        <v>472</v>
      </c>
      <c r="C257" s="83">
        <v>135289</v>
      </c>
      <c r="D257" s="83">
        <v>120212</v>
      </c>
      <c r="E257" s="83">
        <v>169368</v>
      </c>
      <c r="F257">
        <v>12.54</v>
      </c>
      <c r="G257">
        <v>-20.12</v>
      </c>
      <c r="H257" s="83">
        <v>1219727</v>
      </c>
      <c r="I257" s="83">
        <v>1395075</v>
      </c>
      <c r="J257">
        <v>-12.56</v>
      </c>
      <c r="K257" t="s">
        <v>627</v>
      </c>
    </row>
    <row r="258" spans="1:11" customFormat="1" hidden="1">
      <c r="A258">
        <v>5425</v>
      </c>
      <c r="B258" t="s">
        <v>471</v>
      </c>
      <c r="C258" s="83">
        <v>648001</v>
      </c>
      <c r="D258" s="83">
        <v>652385</v>
      </c>
      <c r="E258" s="83">
        <v>617269</v>
      </c>
      <c r="F258">
        <v>-0.67</v>
      </c>
      <c r="G258">
        <v>4.97</v>
      </c>
      <c r="H258" s="83">
        <v>5684100</v>
      </c>
      <c r="I258" s="83">
        <v>5830694</v>
      </c>
      <c r="J258">
        <v>-2.5099999999999998</v>
      </c>
      <c r="K258" t="s">
        <v>627</v>
      </c>
    </row>
    <row r="259" spans="1:11" customFormat="1" hidden="1">
      <c r="A259">
        <v>5410</v>
      </c>
      <c r="B259" t="s">
        <v>964</v>
      </c>
      <c r="C259" s="83">
        <v>280687</v>
      </c>
      <c r="D259" s="83">
        <v>170740</v>
      </c>
      <c r="E259" s="83">
        <v>236510</v>
      </c>
      <c r="F259">
        <v>64.39</v>
      </c>
      <c r="G259">
        <v>18.670000000000002</v>
      </c>
      <c r="H259" s="83">
        <v>1550500</v>
      </c>
      <c r="I259" s="83">
        <v>1605050</v>
      </c>
      <c r="J259">
        <v>-3.39</v>
      </c>
      <c r="K259" t="s">
        <v>627</v>
      </c>
    </row>
    <row r="260" spans="1:11" customFormat="1" hidden="1">
      <c r="A260">
        <v>8071</v>
      </c>
      <c r="B260" t="s">
        <v>546</v>
      </c>
      <c r="C260" s="83">
        <v>220427</v>
      </c>
      <c r="D260" s="83">
        <v>198966</v>
      </c>
      <c r="E260" s="83">
        <v>178406</v>
      </c>
      <c r="F260">
        <v>10.78</v>
      </c>
      <c r="G260">
        <v>23.55</v>
      </c>
      <c r="H260" s="83">
        <v>1707271</v>
      </c>
      <c r="I260" s="83">
        <v>1528495</v>
      </c>
      <c r="J260">
        <v>11.69</v>
      </c>
      <c r="K260" t="s">
        <v>627</v>
      </c>
    </row>
    <row r="261" spans="1:11" customFormat="1" hidden="1">
      <c r="A261">
        <v>5398</v>
      </c>
      <c r="B261" t="s">
        <v>470</v>
      </c>
      <c r="C261" s="83">
        <v>19830</v>
      </c>
      <c r="D261" s="83">
        <v>16683</v>
      </c>
      <c r="E261" s="83">
        <v>21969</v>
      </c>
      <c r="F261">
        <v>18.86</v>
      </c>
      <c r="G261">
        <v>-9.73</v>
      </c>
      <c r="H261" s="83">
        <v>169734</v>
      </c>
      <c r="I261" s="83">
        <v>203306</v>
      </c>
      <c r="J261">
        <v>-16.510000000000002</v>
      </c>
      <c r="K261" t="s">
        <v>627</v>
      </c>
    </row>
    <row r="262" spans="1:11" customFormat="1" hidden="1">
      <c r="A262">
        <v>3625</v>
      </c>
      <c r="B262" t="s">
        <v>395</v>
      </c>
      <c r="C262" s="83">
        <v>79323</v>
      </c>
      <c r="D262" s="83">
        <v>62381</v>
      </c>
      <c r="E262" s="83">
        <v>57123</v>
      </c>
      <c r="F262">
        <v>27.15</v>
      </c>
      <c r="G262">
        <v>38.86</v>
      </c>
      <c r="H262" s="83">
        <v>529798</v>
      </c>
      <c r="I262" s="83">
        <v>474370</v>
      </c>
      <c r="J262">
        <v>11.68</v>
      </c>
      <c r="K262" t="s">
        <v>627</v>
      </c>
    </row>
    <row r="263" spans="1:11" customFormat="1" hidden="1">
      <c r="A263">
        <v>6432</v>
      </c>
      <c r="B263" t="s">
        <v>927</v>
      </c>
      <c r="C263" s="83">
        <v>93478</v>
      </c>
      <c r="D263" s="83">
        <v>89517</v>
      </c>
      <c r="E263" s="83">
        <v>84010</v>
      </c>
      <c r="F263">
        <v>4.42</v>
      </c>
      <c r="G263">
        <v>11.27</v>
      </c>
      <c r="H263" s="83">
        <v>730649</v>
      </c>
      <c r="I263" s="83">
        <v>654310</v>
      </c>
      <c r="J263">
        <v>11.66</v>
      </c>
      <c r="K263" t="s">
        <v>627</v>
      </c>
    </row>
    <row r="264" spans="1:11" customFormat="1" hidden="1">
      <c r="A264">
        <v>5386</v>
      </c>
      <c r="B264" t="s">
        <v>782</v>
      </c>
      <c r="C264" s="83">
        <v>90187</v>
      </c>
      <c r="D264" s="83">
        <v>92500</v>
      </c>
      <c r="E264" s="83">
        <v>111747</v>
      </c>
      <c r="F264" s="82">
        <v>-2.5</v>
      </c>
      <c r="G264">
        <v>-19.29</v>
      </c>
      <c r="H264" s="83">
        <v>1336528</v>
      </c>
      <c r="I264" s="83">
        <v>550188</v>
      </c>
      <c r="J264">
        <v>142.91999999999999</v>
      </c>
      <c r="K264" t="s">
        <v>783</v>
      </c>
    </row>
    <row r="265" spans="1:11" customFormat="1" hidden="1">
      <c r="A265">
        <v>8147</v>
      </c>
      <c r="B265" t="s">
        <v>935</v>
      </c>
      <c r="C265" s="83">
        <v>63113</v>
      </c>
      <c r="D265" s="83">
        <v>41948</v>
      </c>
      <c r="E265" s="83">
        <v>59207</v>
      </c>
      <c r="F265" s="82">
        <v>50.45</v>
      </c>
      <c r="G265">
        <v>6.59</v>
      </c>
      <c r="H265" s="83">
        <v>605605</v>
      </c>
      <c r="I265" s="83">
        <v>544383</v>
      </c>
      <c r="J265">
        <v>11.24</v>
      </c>
      <c r="K265" t="s">
        <v>627</v>
      </c>
    </row>
    <row r="266" spans="1:11" customFormat="1" hidden="1">
      <c r="A266">
        <v>5383</v>
      </c>
      <c r="B266" t="s">
        <v>985</v>
      </c>
      <c r="C266" s="83">
        <v>81083</v>
      </c>
      <c r="D266" s="83">
        <v>68973</v>
      </c>
      <c r="E266" s="83">
        <v>91331</v>
      </c>
      <c r="F266">
        <v>17.55</v>
      </c>
      <c r="G266">
        <v>-11.22</v>
      </c>
      <c r="H266" s="83">
        <v>642773</v>
      </c>
      <c r="I266" s="83">
        <v>800486</v>
      </c>
      <c r="J266">
        <v>-19.7</v>
      </c>
      <c r="K266" t="s">
        <v>627</v>
      </c>
    </row>
    <row r="267" spans="1:11" customFormat="1" hidden="1">
      <c r="A267">
        <v>5371</v>
      </c>
      <c r="B267" t="s">
        <v>468</v>
      </c>
      <c r="C267" s="83">
        <v>6591478</v>
      </c>
      <c r="D267" s="83">
        <v>6148404</v>
      </c>
      <c r="E267" s="83">
        <v>7024359</v>
      </c>
      <c r="F267">
        <v>7.2</v>
      </c>
      <c r="G267">
        <v>-6.16</v>
      </c>
      <c r="H267" s="83">
        <v>51081907</v>
      </c>
      <c r="I267" s="83">
        <v>61826847</v>
      </c>
      <c r="J267">
        <v>-17.37</v>
      </c>
      <c r="K267" t="s">
        <v>627</v>
      </c>
    </row>
    <row r="268" spans="1:11" customFormat="1" hidden="1">
      <c r="A268">
        <v>8049</v>
      </c>
      <c r="B268" t="s">
        <v>832</v>
      </c>
      <c r="C268" s="83">
        <v>147412</v>
      </c>
      <c r="D268" s="83">
        <v>138385</v>
      </c>
      <c r="E268" s="83">
        <v>106062</v>
      </c>
      <c r="F268">
        <v>6.52</v>
      </c>
      <c r="G268">
        <v>38.979999999999997</v>
      </c>
      <c r="H268" s="83">
        <v>1129488</v>
      </c>
      <c r="I268" s="83">
        <v>1019328</v>
      </c>
      <c r="J268">
        <v>10.8</v>
      </c>
      <c r="K268" t="s">
        <v>627</v>
      </c>
    </row>
    <row r="269" spans="1:11" customFormat="1" hidden="1">
      <c r="A269">
        <v>5356</v>
      </c>
      <c r="B269" t="s">
        <v>781</v>
      </c>
      <c r="C269" s="83">
        <v>819439</v>
      </c>
      <c r="D269" s="83">
        <v>774628</v>
      </c>
      <c r="E269" s="83">
        <v>997617</v>
      </c>
      <c r="F269">
        <v>5.78</v>
      </c>
      <c r="G269">
        <v>-17.86</v>
      </c>
      <c r="H269" s="83">
        <v>7088363</v>
      </c>
      <c r="I269" s="83">
        <v>7057737</v>
      </c>
      <c r="J269">
        <v>0.43</v>
      </c>
      <c r="K269" t="s">
        <v>627</v>
      </c>
    </row>
    <row r="270" spans="1:11" customFormat="1" hidden="1">
      <c r="A270">
        <v>5355</v>
      </c>
      <c r="B270" t="s">
        <v>466</v>
      </c>
      <c r="C270" s="83">
        <v>100069</v>
      </c>
      <c r="D270" s="83">
        <v>94511</v>
      </c>
      <c r="E270" s="83">
        <v>166281</v>
      </c>
      <c r="F270">
        <v>5.88</v>
      </c>
      <c r="G270">
        <v>-39.81</v>
      </c>
      <c r="H270" s="83">
        <v>1087328</v>
      </c>
      <c r="I270" s="83">
        <v>1217158</v>
      </c>
      <c r="J270">
        <v>-10.66</v>
      </c>
      <c r="K270" t="s">
        <v>627</v>
      </c>
    </row>
    <row r="271" spans="1:11" customFormat="1" hidden="1">
      <c r="A271">
        <v>5353</v>
      </c>
      <c r="B271" t="s">
        <v>852</v>
      </c>
      <c r="C271" s="83">
        <v>75463</v>
      </c>
      <c r="D271" s="83">
        <v>91491</v>
      </c>
      <c r="E271" s="83">
        <v>91874</v>
      </c>
      <c r="F271">
        <v>-17.510000000000002</v>
      </c>
      <c r="G271">
        <v>-17.86</v>
      </c>
      <c r="H271" s="83">
        <v>819214</v>
      </c>
      <c r="I271" s="83">
        <v>915969</v>
      </c>
      <c r="J271">
        <v>-10.56</v>
      </c>
      <c r="K271" t="s">
        <v>627</v>
      </c>
    </row>
    <row r="272" spans="1:11" customFormat="1" hidden="1">
      <c r="A272">
        <v>5351</v>
      </c>
      <c r="B272" t="s">
        <v>748</v>
      </c>
      <c r="C272" s="83">
        <v>585328</v>
      </c>
      <c r="D272" s="83">
        <v>558399</v>
      </c>
      <c r="E272" s="83">
        <v>714955</v>
      </c>
      <c r="F272">
        <v>4.82</v>
      </c>
      <c r="G272">
        <v>-18.13</v>
      </c>
      <c r="H272" s="83">
        <v>5681559</v>
      </c>
      <c r="I272" s="83">
        <v>5576900</v>
      </c>
      <c r="J272">
        <v>1.87</v>
      </c>
      <c r="K272" t="s">
        <v>627</v>
      </c>
    </row>
    <row r="273" spans="1:11" customFormat="1" hidden="1">
      <c r="A273">
        <v>5349</v>
      </c>
      <c r="B273" t="s">
        <v>895</v>
      </c>
      <c r="C273" s="83">
        <v>605497</v>
      </c>
      <c r="D273" s="83">
        <v>526654</v>
      </c>
      <c r="E273" s="83">
        <v>729819</v>
      </c>
      <c r="F273">
        <v>14.97</v>
      </c>
      <c r="G273">
        <v>-17.03</v>
      </c>
      <c r="H273" s="83">
        <v>5927696</v>
      </c>
      <c r="I273" s="83">
        <v>5870284</v>
      </c>
      <c r="J273">
        <v>0.97</v>
      </c>
      <c r="K273" t="s">
        <v>627</v>
      </c>
    </row>
    <row r="274" spans="1:11" customFormat="1" hidden="1">
      <c r="A274">
        <v>5348</v>
      </c>
      <c r="B274" t="s">
        <v>851</v>
      </c>
      <c r="C274" s="83">
        <v>18686</v>
      </c>
      <c r="D274" s="83">
        <v>19572</v>
      </c>
      <c r="E274" s="83">
        <v>25023</v>
      </c>
      <c r="F274">
        <v>-4.5199999999999996</v>
      </c>
      <c r="G274">
        <v>-25.32</v>
      </c>
      <c r="H274" s="83">
        <v>145608</v>
      </c>
      <c r="I274" s="83">
        <v>149349</v>
      </c>
      <c r="J274">
        <v>-2.5</v>
      </c>
      <c r="K274" t="s">
        <v>627</v>
      </c>
    </row>
    <row r="275" spans="1:11" customFormat="1" hidden="1">
      <c r="A275">
        <v>5347</v>
      </c>
      <c r="B275" t="s">
        <v>465</v>
      </c>
      <c r="C275" s="83">
        <v>1767913</v>
      </c>
      <c r="D275" s="83">
        <v>1694148</v>
      </c>
      <c r="E275" s="83">
        <v>2060475</v>
      </c>
      <c r="F275">
        <v>4.3499999999999996</v>
      </c>
      <c r="G275">
        <v>-14.19</v>
      </c>
      <c r="H275" s="83">
        <v>17837724</v>
      </c>
      <c r="I275" s="83">
        <v>17513448</v>
      </c>
      <c r="J275">
        <v>1.85</v>
      </c>
      <c r="K275" t="s">
        <v>627</v>
      </c>
    </row>
    <row r="276" spans="1:11" customFormat="1" hidden="1">
      <c r="A276">
        <v>5345</v>
      </c>
      <c r="B276" t="s">
        <v>464</v>
      </c>
      <c r="C276" s="83">
        <v>11188</v>
      </c>
      <c r="D276" s="83">
        <v>11831</v>
      </c>
      <c r="E276" s="83">
        <v>16216</v>
      </c>
      <c r="F276">
        <v>-5.43</v>
      </c>
      <c r="G276">
        <v>-31</v>
      </c>
      <c r="H276" s="83">
        <v>97179</v>
      </c>
      <c r="I276" s="83">
        <v>158711</v>
      </c>
      <c r="J276">
        <v>-38.76</v>
      </c>
      <c r="K276" t="s">
        <v>627</v>
      </c>
    </row>
    <row r="277" spans="1:11" customFormat="1" hidden="1">
      <c r="A277">
        <v>5344</v>
      </c>
      <c r="B277" t="s">
        <v>747</v>
      </c>
      <c r="C277" s="83">
        <v>9788</v>
      </c>
      <c r="D277" s="83">
        <v>12213</v>
      </c>
      <c r="E277" s="83">
        <v>10575</v>
      </c>
      <c r="F277">
        <v>-19.850000000000001</v>
      </c>
      <c r="G277">
        <v>-7.44</v>
      </c>
      <c r="H277" s="83">
        <v>95685</v>
      </c>
      <c r="I277" s="83">
        <v>109824</v>
      </c>
      <c r="J277">
        <v>-12.87</v>
      </c>
      <c r="K277" t="s">
        <v>627</v>
      </c>
    </row>
    <row r="278" spans="1:11" customFormat="1" hidden="1">
      <c r="A278">
        <v>5340</v>
      </c>
      <c r="B278" t="s">
        <v>894</v>
      </c>
      <c r="C278" s="83">
        <v>77916</v>
      </c>
      <c r="D278" s="83">
        <v>78146</v>
      </c>
      <c r="E278" s="83">
        <v>81223</v>
      </c>
      <c r="F278">
        <v>-0.28999999999999998</v>
      </c>
      <c r="G278">
        <v>-4.07</v>
      </c>
      <c r="H278" s="83">
        <v>715755</v>
      </c>
      <c r="I278" s="83">
        <v>804445</v>
      </c>
      <c r="J278">
        <v>-11.02</v>
      </c>
      <c r="K278" t="s">
        <v>627</v>
      </c>
    </row>
    <row r="279" spans="1:11" customFormat="1" hidden="1">
      <c r="A279">
        <v>5328</v>
      </c>
      <c r="B279" t="s">
        <v>893</v>
      </c>
      <c r="C279" s="83">
        <v>82714</v>
      </c>
      <c r="D279" s="83">
        <v>80998</v>
      </c>
      <c r="E279" s="83">
        <v>101750</v>
      </c>
      <c r="F279">
        <v>2.11</v>
      </c>
      <c r="G279">
        <v>-18.7</v>
      </c>
      <c r="H279" s="83">
        <v>763291</v>
      </c>
      <c r="I279" s="83">
        <v>928844</v>
      </c>
      <c r="J279">
        <v>-17.82</v>
      </c>
      <c r="K279" t="s">
        <v>627</v>
      </c>
    </row>
    <row r="280" spans="1:11" customFormat="1" hidden="1">
      <c r="A280">
        <v>5324</v>
      </c>
      <c r="B280" t="s">
        <v>463</v>
      </c>
      <c r="C280" s="83">
        <v>13045</v>
      </c>
      <c r="D280" s="83">
        <v>11715</v>
      </c>
      <c r="E280" s="83">
        <v>13664</v>
      </c>
      <c r="F280">
        <v>11.35</v>
      </c>
      <c r="G280">
        <v>-4.53</v>
      </c>
      <c r="H280" s="83">
        <v>107110</v>
      </c>
      <c r="I280" s="83">
        <v>133307</v>
      </c>
      <c r="J280">
        <v>-19.649999999999999</v>
      </c>
      <c r="K280" t="s">
        <v>627</v>
      </c>
    </row>
    <row r="281" spans="1:11" customFormat="1" hidden="1">
      <c r="A281">
        <v>5321</v>
      </c>
      <c r="B281" t="s">
        <v>892</v>
      </c>
      <c r="C281" s="83">
        <v>89020</v>
      </c>
      <c r="D281" s="83">
        <v>80371</v>
      </c>
      <c r="E281" s="83">
        <v>103829</v>
      </c>
      <c r="F281">
        <v>10.76</v>
      </c>
      <c r="G281">
        <v>-14.26</v>
      </c>
      <c r="H281" s="83">
        <v>869851</v>
      </c>
      <c r="I281" s="83">
        <v>721623</v>
      </c>
      <c r="J281">
        <v>20.54</v>
      </c>
      <c r="K281" t="s">
        <v>627</v>
      </c>
    </row>
    <row r="282" spans="1:11" customFormat="1" hidden="1">
      <c r="A282">
        <v>5317</v>
      </c>
      <c r="B282" t="s">
        <v>462</v>
      </c>
      <c r="C282" s="83">
        <v>136923</v>
      </c>
      <c r="D282" s="83">
        <v>136389</v>
      </c>
      <c r="E282" s="83">
        <v>146694</v>
      </c>
      <c r="F282">
        <v>0.39</v>
      </c>
      <c r="G282">
        <v>-6.66</v>
      </c>
      <c r="H282" s="83">
        <v>1237385</v>
      </c>
      <c r="I282" s="83">
        <v>1363495</v>
      </c>
      <c r="J282">
        <v>-9.24</v>
      </c>
      <c r="K282" t="s">
        <v>627</v>
      </c>
    </row>
    <row r="283" spans="1:11" customFormat="1" hidden="1">
      <c r="A283">
        <v>2221</v>
      </c>
      <c r="B283" t="s">
        <v>1042</v>
      </c>
      <c r="C283" s="83">
        <v>84864</v>
      </c>
      <c r="D283" s="83">
        <v>66935</v>
      </c>
      <c r="E283" s="83">
        <v>51845</v>
      </c>
      <c r="F283">
        <v>26.78</v>
      </c>
      <c r="G283">
        <v>63.68</v>
      </c>
      <c r="H283" s="83">
        <v>559330</v>
      </c>
      <c r="I283" s="83">
        <v>505511</v>
      </c>
      <c r="J283">
        <v>10.64</v>
      </c>
      <c r="K283" t="s">
        <v>1043</v>
      </c>
    </row>
    <row r="284" spans="1:11" customFormat="1" hidden="1">
      <c r="A284">
        <v>5314</v>
      </c>
      <c r="B284" t="s">
        <v>746</v>
      </c>
      <c r="C284" s="83">
        <v>9925</v>
      </c>
      <c r="D284" s="83">
        <v>10845</v>
      </c>
      <c r="E284" s="83">
        <v>18838</v>
      </c>
      <c r="F284">
        <v>-8.48</v>
      </c>
      <c r="G284">
        <v>-47.31</v>
      </c>
      <c r="H284" s="83">
        <v>120428</v>
      </c>
      <c r="I284" s="83">
        <v>166301</v>
      </c>
      <c r="J284">
        <v>-27.58</v>
      </c>
      <c r="K284" t="s">
        <v>627</v>
      </c>
    </row>
    <row r="285" spans="1:11" customFormat="1" hidden="1">
      <c r="A285">
        <v>5601</v>
      </c>
      <c r="B285" t="s">
        <v>1024</v>
      </c>
      <c r="C285" s="83">
        <v>6294</v>
      </c>
      <c r="D285" s="83">
        <v>6284</v>
      </c>
      <c r="E285" s="83">
        <v>5757</v>
      </c>
      <c r="F285">
        <v>0.15</v>
      </c>
      <c r="G285" s="113">
        <v>9.32</v>
      </c>
      <c r="H285" s="83">
        <v>56294</v>
      </c>
      <c r="I285" s="83">
        <v>50896</v>
      </c>
      <c r="J285">
        <v>10.6</v>
      </c>
      <c r="K285" t="s">
        <v>627</v>
      </c>
    </row>
    <row r="286" spans="1:11" customFormat="1" hidden="1">
      <c r="A286">
        <v>5310</v>
      </c>
      <c r="B286" t="s">
        <v>962</v>
      </c>
      <c r="C286" s="83">
        <v>24957</v>
      </c>
      <c r="D286" s="83">
        <v>17924</v>
      </c>
      <c r="E286" s="83">
        <v>18738</v>
      </c>
      <c r="F286">
        <v>39.229999999999997</v>
      </c>
      <c r="G286">
        <v>33.18</v>
      </c>
      <c r="H286" s="83">
        <v>194582</v>
      </c>
      <c r="I286" s="83">
        <v>201487</v>
      </c>
      <c r="J286">
        <v>-3.42</v>
      </c>
      <c r="K286" t="s">
        <v>627</v>
      </c>
    </row>
    <row r="287" spans="1:11" customFormat="1" hidden="1">
      <c r="A287">
        <v>5309</v>
      </c>
      <c r="B287" t="s">
        <v>891</v>
      </c>
      <c r="C287" s="83">
        <v>153373</v>
      </c>
      <c r="D287" s="83">
        <v>110939</v>
      </c>
      <c r="E287" s="83">
        <v>240637</v>
      </c>
      <c r="F287">
        <v>38.24</v>
      </c>
      <c r="G287">
        <v>-36.26</v>
      </c>
      <c r="H287" s="83">
        <v>1139065</v>
      </c>
      <c r="I287" s="83">
        <v>1570600</v>
      </c>
      <c r="J287">
        <v>-27.47</v>
      </c>
      <c r="K287" t="s">
        <v>627</v>
      </c>
    </row>
    <row r="288" spans="1:11" customFormat="1" hidden="1">
      <c r="A288">
        <v>8299</v>
      </c>
      <c r="B288" t="s">
        <v>800</v>
      </c>
      <c r="C288" s="83">
        <v>3491055</v>
      </c>
      <c r="D288" s="83">
        <v>3225471</v>
      </c>
      <c r="E288" s="83">
        <v>2678980</v>
      </c>
      <c r="F288">
        <v>8.23</v>
      </c>
      <c r="G288">
        <v>30.31</v>
      </c>
      <c r="H288" s="83">
        <v>26817450</v>
      </c>
      <c r="I288" s="83">
        <v>24306958</v>
      </c>
      <c r="J288">
        <v>10.32</v>
      </c>
      <c r="K288" t="s">
        <v>627</v>
      </c>
    </row>
    <row r="289" spans="1:11" customFormat="1" hidden="1">
      <c r="A289">
        <v>5302</v>
      </c>
      <c r="B289" t="s">
        <v>459</v>
      </c>
      <c r="C289" s="83">
        <v>16132</v>
      </c>
      <c r="D289" s="83">
        <v>20523</v>
      </c>
      <c r="E289" s="83">
        <v>22232</v>
      </c>
      <c r="F289">
        <v>-21.39</v>
      </c>
      <c r="G289">
        <v>-27.43</v>
      </c>
      <c r="H289" s="83">
        <v>159986</v>
      </c>
      <c r="I289" s="83">
        <v>140962</v>
      </c>
      <c r="J289">
        <v>13.49</v>
      </c>
      <c r="K289" t="s">
        <v>627</v>
      </c>
    </row>
    <row r="290" spans="1:11" customFormat="1" hidden="1">
      <c r="A290">
        <v>3323</v>
      </c>
      <c r="B290" t="s">
        <v>360</v>
      </c>
      <c r="C290" s="83">
        <v>487803</v>
      </c>
      <c r="D290" s="83">
        <v>422550</v>
      </c>
      <c r="E290" s="83">
        <v>434447</v>
      </c>
      <c r="F290">
        <v>15.44</v>
      </c>
      <c r="G290">
        <v>12.28</v>
      </c>
      <c r="H290" s="83">
        <v>3586541</v>
      </c>
      <c r="I290" s="83">
        <v>3260765</v>
      </c>
      <c r="J290">
        <v>9.99</v>
      </c>
      <c r="K290" t="s">
        <v>627</v>
      </c>
    </row>
    <row r="291" spans="1:11" customFormat="1" hidden="1">
      <c r="A291">
        <v>5291</v>
      </c>
      <c r="B291" t="s">
        <v>457</v>
      </c>
      <c r="C291" s="83">
        <v>87526</v>
      </c>
      <c r="D291" s="83">
        <v>88374</v>
      </c>
      <c r="E291" s="83">
        <v>90446</v>
      </c>
      <c r="F291">
        <v>-0.95</v>
      </c>
      <c r="G291">
        <v>-3.22</v>
      </c>
      <c r="H291" s="83">
        <v>801387</v>
      </c>
      <c r="I291" s="83">
        <v>1230083</v>
      </c>
      <c r="J291">
        <v>-34.85</v>
      </c>
      <c r="K291" t="s">
        <v>627</v>
      </c>
    </row>
    <row r="292" spans="1:11" customFormat="1" hidden="1">
      <c r="A292">
        <v>5212</v>
      </c>
      <c r="B292" t="s">
        <v>961</v>
      </c>
      <c r="C292" s="83">
        <v>60276</v>
      </c>
      <c r="D292" s="83">
        <v>51829</v>
      </c>
      <c r="E292" s="83">
        <v>60224</v>
      </c>
      <c r="F292">
        <v>16.29</v>
      </c>
      <c r="G292">
        <v>0.08</v>
      </c>
      <c r="H292" s="83">
        <v>419826</v>
      </c>
      <c r="I292" s="83">
        <v>384311</v>
      </c>
      <c r="J292">
        <v>9.24</v>
      </c>
      <c r="K292" t="s">
        <v>627</v>
      </c>
    </row>
    <row r="293" spans="1:11" customFormat="1" hidden="1">
      <c r="A293">
        <v>1777</v>
      </c>
      <c r="B293" t="s">
        <v>311</v>
      </c>
      <c r="C293" s="83">
        <v>57973</v>
      </c>
      <c r="D293" s="83">
        <v>55993</v>
      </c>
      <c r="E293" s="83">
        <v>51830</v>
      </c>
      <c r="F293">
        <v>3.53</v>
      </c>
      <c r="G293">
        <v>11.85</v>
      </c>
      <c r="H293" s="83">
        <v>503151</v>
      </c>
      <c r="I293" s="83">
        <v>460962</v>
      </c>
      <c r="J293">
        <v>9.15</v>
      </c>
      <c r="K293" t="s">
        <v>627</v>
      </c>
    </row>
    <row r="294" spans="1:11" customFormat="1" hidden="1">
      <c r="A294">
        <v>5278</v>
      </c>
      <c r="B294" t="s">
        <v>455</v>
      </c>
      <c r="C294" s="83">
        <v>23249</v>
      </c>
      <c r="D294" s="83">
        <v>22915</v>
      </c>
      <c r="E294" s="83">
        <v>20142</v>
      </c>
      <c r="F294">
        <v>1.45</v>
      </c>
      <c r="G294">
        <v>15.42</v>
      </c>
      <c r="H294" s="83">
        <v>171518</v>
      </c>
      <c r="I294" s="83">
        <v>206592</v>
      </c>
      <c r="J294">
        <v>-16.97</v>
      </c>
      <c r="K294" t="s">
        <v>627</v>
      </c>
    </row>
    <row r="295" spans="1:11" customFormat="1" hidden="1">
      <c r="A295">
        <v>4609</v>
      </c>
      <c r="B295" t="s">
        <v>661</v>
      </c>
      <c r="C295" s="83">
        <v>205178</v>
      </c>
      <c r="D295" s="83">
        <v>157410</v>
      </c>
      <c r="E295" s="83">
        <v>92257</v>
      </c>
      <c r="F295">
        <v>30.34</v>
      </c>
      <c r="G295">
        <v>122.39</v>
      </c>
      <c r="H295" s="83">
        <v>829483</v>
      </c>
      <c r="I295" s="83">
        <v>760024</v>
      </c>
      <c r="J295">
        <v>9.1300000000000008</v>
      </c>
      <c r="K295" t="s">
        <v>662</v>
      </c>
    </row>
    <row r="296" spans="1:11" customFormat="1" hidden="1">
      <c r="A296">
        <v>5272</v>
      </c>
      <c r="B296" t="s">
        <v>454</v>
      </c>
      <c r="C296" s="83">
        <v>46006</v>
      </c>
      <c r="D296" s="83">
        <v>41223</v>
      </c>
      <c r="E296" s="83">
        <v>46273</v>
      </c>
      <c r="F296">
        <v>11.6</v>
      </c>
      <c r="G296">
        <v>-0.56999999999999995</v>
      </c>
      <c r="H296" s="83">
        <v>440052</v>
      </c>
      <c r="I296" s="83">
        <v>523896</v>
      </c>
      <c r="J296">
        <v>-16</v>
      </c>
      <c r="K296" t="s">
        <v>627</v>
      </c>
    </row>
    <row r="297" spans="1:11" customFormat="1" hidden="1">
      <c r="A297">
        <v>5263</v>
      </c>
      <c r="B297" t="s">
        <v>1068</v>
      </c>
      <c r="C297" s="83">
        <v>67775</v>
      </c>
      <c r="D297" s="83">
        <v>71383</v>
      </c>
      <c r="E297" s="83">
        <v>40035</v>
      </c>
      <c r="F297">
        <v>-5.05</v>
      </c>
      <c r="G297">
        <v>69.28</v>
      </c>
      <c r="H297" s="83">
        <v>504380</v>
      </c>
      <c r="I297" s="83">
        <v>727662</v>
      </c>
      <c r="J297">
        <v>-30.68</v>
      </c>
      <c r="K297" t="s">
        <v>1069</v>
      </c>
    </row>
    <row r="298" spans="1:11" customFormat="1" hidden="1">
      <c r="A298">
        <v>5255</v>
      </c>
      <c r="B298" t="s">
        <v>453</v>
      </c>
      <c r="C298" s="83">
        <v>109212</v>
      </c>
      <c r="D298" s="83">
        <v>106347</v>
      </c>
      <c r="E298" s="83">
        <v>108698</v>
      </c>
      <c r="F298">
        <v>2.69</v>
      </c>
      <c r="G298">
        <v>0.47</v>
      </c>
      <c r="H298" s="83">
        <v>846684</v>
      </c>
      <c r="I298" s="83">
        <v>968973</v>
      </c>
      <c r="J298">
        <v>-12.62</v>
      </c>
      <c r="K298" t="s">
        <v>627</v>
      </c>
    </row>
    <row r="299" spans="1:11" customFormat="1" hidden="1">
      <c r="A299">
        <v>5251</v>
      </c>
      <c r="B299" t="s">
        <v>452</v>
      </c>
      <c r="C299" s="83">
        <v>65060</v>
      </c>
      <c r="D299" s="83">
        <v>42656</v>
      </c>
      <c r="E299" s="83">
        <v>109370</v>
      </c>
      <c r="F299">
        <v>52.52</v>
      </c>
      <c r="G299">
        <v>-40.51</v>
      </c>
      <c r="H299" s="83">
        <v>517727</v>
      </c>
      <c r="I299" s="83">
        <v>753491</v>
      </c>
      <c r="J299">
        <v>-31.28</v>
      </c>
      <c r="K299" t="s">
        <v>627</v>
      </c>
    </row>
    <row r="300" spans="1:11" customFormat="1" hidden="1">
      <c r="A300">
        <v>6244</v>
      </c>
      <c r="B300" t="s">
        <v>524</v>
      </c>
      <c r="C300" s="83">
        <v>2539408</v>
      </c>
      <c r="D300" s="83">
        <v>2271925</v>
      </c>
      <c r="E300" s="83">
        <v>1552530</v>
      </c>
      <c r="F300">
        <v>11.77</v>
      </c>
      <c r="G300">
        <v>63.56</v>
      </c>
      <c r="H300" s="83">
        <v>16423398</v>
      </c>
      <c r="I300" s="83">
        <v>15115769</v>
      </c>
      <c r="J300">
        <v>8.65</v>
      </c>
      <c r="K300" t="s">
        <v>831</v>
      </c>
    </row>
    <row r="301" spans="1:11" customFormat="1" hidden="1">
      <c r="A301">
        <v>4933</v>
      </c>
      <c r="B301" t="s">
        <v>437</v>
      </c>
      <c r="C301" s="83">
        <v>360488</v>
      </c>
      <c r="D301" s="83">
        <v>331989</v>
      </c>
      <c r="E301" s="83">
        <v>358432</v>
      </c>
      <c r="F301">
        <v>8.58</v>
      </c>
      <c r="G301">
        <v>0.56999999999999995</v>
      </c>
      <c r="H301" s="83">
        <v>3021907</v>
      </c>
      <c r="I301" s="83">
        <v>2786774</v>
      </c>
      <c r="J301">
        <v>8.43</v>
      </c>
      <c r="K301" t="s">
        <v>627</v>
      </c>
    </row>
    <row r="302" spans="1:11" customFormat="1" hidden="1">
      <c r="A302">
        <v>5213</v>
      </c>
      <c r="B302" t="s">
        <v>1003</v>
      </c>
      <c r="C302" s="83">
        <v>6763</v>
      </c>
      <c r="D302" s="83">
        <v>36624</v>
      </c>
      <c r="E302" s="83">
        <v>36241</v>
      </c>
      <c r="F302">
        <v>-81.53</v>
      </c>
      <c r="G302">
        <v>-81.33</v>
      </c>
      <c r="H302" s="83">
        <v>2596808</v>
      </c>
      <c r="I302" s="83">
        <v>806806</v>
      </c>
      <c r="J302">
        <v>221.86</v>
      </c>
      <c r="K302" t="s">
        <v>1004</v>
      </c>
    </row>
    <row r="303" spans="1:11" customFormat="1" hidden="1">
      <c r="A303">
        <v>8913</v>
      </c>
      <c r="B303" t="s">
        <v>567</v>
      </c>
      <c r="C303" s="83">
        <v>6025</v>
      </c>
      <c r="D303" s="83">
        <v>5814</v>
      </c>
      <c r="E303" s="83">
        <v>5468</v>
      </c>
      <c r="F303">
        <v>3.62</v>
      </c>
      <c r="G303">
        <v>10.18</v>
      </c>
      <c r="H303" s="83">
        <v>52689</v>
      </c>
      <c r="I303" s="83">
        <v>48753</v>
      </c>
      <c r="J303">
        <v>8.07</v>
      </c>
      <c r="K303" t="s">
        <v>627</v>
      </c>
    </row>
    <row r="304" spans="1:11" customFormat="1" hidden="1">
      <c r="A304">
        <v>5211</v>
      </c>
      <c r="B304" t="s">
        <v>449</v>
      </c>
      <c r="C304" s="83">
        <v>21312</v>
      </c>
      <c r="D304" s="83">
        <v>21917</v>
      </c>
      <c r="E304" s="83">
        <v>22373</v>
      </c>
      <c r="F304">
        <v>-2.76</v>
      </c>
      <c r="G304">
        <v>-4.74</v>
      </c>
      <c r="H304" s="83">
        <v>199357</v>
      </c>
      <c r="I304" s="83">
        <v>232530</v>
      </c>
      <c r="J304">
        <v>-14.26</v>
      </c>
      <c r="K304" t="s">
        <v>627</v>
      </c>
    </row>
    <row r="305" spans="1:11" customFormat="1" hidden="1">
      <c r="A305">
        <v>5210</v>
      </c>
      <c r="B305" t="s">
        <v>448</v>
      </c>
      <c r="C305" s="83">
        <v>20864</v>
      </c>
      <c r="D305" s="83">
        <v>15363</v>
      </c>
      <c r="E305" s="83">
        <v>25035</v>
      </c>
      <c r="F305">
        <v>35.799999999999997</v>
      </c>
      <c r="G305">
        <v>-16.66</v>
      </c>
      <c r="H305" s="83">
        <v>226774</v>
      </c>
      <c r="I305" s="83">
        <v>246867</v>
      </c>
      <c r="J305">
        <v>-8.1300000000000008</v>
      </c>
      <c r="K305" t="s">
        <v>627</v>
      </c>
    </row>
    <row r="306" spans="1:11" customFormat="1" hidden="1">
      <c r="A306">
        <v>8906</v>
      </c>
      <c r="B306" t="s">
        <v>1054</v>
      </c>
      <c r="C306" s="83">
        <v>24003</v>
      </c>
      <c r="D306" s="83">
        <v>16385</v>
      </c>
      <c r="E306" s="83">
        <v>16010</v>
      </c>
      <c r="F306">
        <v>46.49</v>
      </c>
      <c r="G306">
        <v>49.92</v>
      </c>
      <c r="H306" s="83">
        <v>145585</v>
      </c>
      <c r="I306" s="83">
        <v>135137</v>
      </c>
      <c r="J306">
        <v>7.73</v>
      </c>
      <c r="K306" t="s">
        <v>627</v>
      </c>
    </row>
    <row r="307" spans="1:11" customFormat="1" hidden="1">
      <c r="A307">
        <v>3092</v>
      </c>
      <c r="B307" t="s">
        <v>330</v>
      </c>
      <c r="C307" s="83">
        <v>210016</v>
      </c>
      <c r="D307" s="83">
        <v>200557</v>
      </c>
      <c r="E307" s="83">
        <v>182626</v>
      </c>
      <c r="F307">
        <v>4.71</v>
      </c>
      <c r="G307">
        <v>14.99</v>
      </c>
      <c r="H307" s="83">
        <v>1674201</v>
      </c>
      <c r="I307" s="83">
        <v>1557887</v>
      </c>
      <c r="J307">
        <v>7.46</v>
      </c>
      <c r="K307" t="s">
        <v>627</v>
      </c>
    </row>
    <row r="308" spans="1:11" customFormat="1" hidden="1">
      <c r="A308">
        <v>5205</v>
      </c>
      <c r="B308" t="s">
        <v>983</v>
      </c>
      <c r="C308" s="83">
        <v>12</v>
      </c>
      <c r="D308" s="83">
        <v>700</v>
      </c>
      <c r="E308" s="83">
        <v>572</v>
      </c>
      <c r="F308">
        <v>-98.28</v>
      </c>
      <c r="G308">
        <v>-97.9</v>
      </c>
      <c r="H308" s="83">
        <v>1914</v>
      </c>
      <c r="I308" s="83">
        <v>6382</v>
      </c>
      <c r="J308">
        <v>-70</v>
      </c>
      <c r="K308" t="s">
        <v>984</v>
      </c>
    </row>
    <row r="309" spans="1:11" customFormat="1" hidden="1">
      <c r="A309">
        <v>5536</v>
      </c>
      <c r="B309" t="s">
        <v>486</v>
      </c>
      <c r="C309" s="83">
        <v>900729</v>
      </c>
      <c r="D309" s="83">
        <v>832121</v>
      </c>
      <c r="E309" s="83">
        <v>597816</v>
      </c>
      <c r="F309">
        <v>8.24</v>
      </c>
      <c r="G309">
        <v>50.66</v>
      </c>
      <c r="H309" s="83">
        <v>5860998</v>
      </c>
      <c r="I309" s="83">
        <v>5458234</v>
      </c>
      <c r="J309">
        <v>7.37</v>
      </c>
      <c r="K309" t="s">
        <v>988</v>
      </c>
    </row>
    <row r="310" spans="1:11" customFormat="1" hidden="1">
      <c r="A310">
        <v>5201</v>
      </c>
      <c r="B310" t="s">
        <v>959</v>
      </c>
      <c r="C310" s="83">
        <v>24593</v>
      </c>
      <c r="D310" s="83">
        <v>17709</v>
      </c>
      <c r="E310" s="83">
        <v>20205</v>
      </c>
      <c r="F310">
        <v>38.869999999999997</v>
      </c>
      <c r="G310">
        <v>21.71</v>
      </c>
      <c r="H310" s="83">
        <v>189208</v>
      </c>
      <c r="I310" s="83">
        <v>192485</v>
      </c>
      <c r="J310">
        <v>-1.7</v>
      </c>
      <c r="K310" t="s">
        <v>627</v>
      </c>
    </row>
    <row r="311" spans="1:11" customFormat="1" hidden="1">
      <c r="A311">
        <v>5102</v>
      </c>
      <c r="B311" t="s">
        <v>446</v>
      </c>
      <c r="C311" s="83">
        <v>58794</v>
      </c>
      <c r="D311" s="83">
        <v>50518</v>
      </c>
      <c r="E311" s="83">
        <v>93710</v>
      </c>
      <c r="F311">
        <v>16.38</v>
      </c>
      <c r="G311">
        <v>-37.25</v>
      </c>
      <c r="H311" s="83">
        <v>532792</v>
      </c>
      <c r="I311" s="83">
        <v>711124</v>
      </c>
      <c r="J311">
        <v>-25.07</v>
      </c>
      <c r="K311" t="s">
        <v>627</v>
      </c>
    </row>
    <row r="312" spans="1:11" customFormat="1" hidden="1">
      <c r="A312">
        <v>5016</v>
      </c>
      <c r="B312" t="s">
        <v>719</v>
      </c>
      <c r="C312" s="83">
        <v>163998</v>
      </c>
      <c r="D312" s="83">
        <v>167339</v>
      </c>
      <c r="E312" s="83">
        <v>243393</v>
      </c>
      <c r="F312">
        <v>-1.99</v>
      </c>
      <c r="G312">
        <v>-32.619999999999997</v>
      </c>
      <c r="H312" s="83">
        <v>1693209</v>
      </c>
      <c r="I312" s="83">
        <v>2037714</v>
      </c>
      <c r="J312">
        <v>-16.899999999999999</v>
      </c>
      <c r="K312" t="s">
        <v>627</v>
      </c>
    </row>
    <row r="313" spans="1:11" customFormat="1" hidden="1">
      <c r="A313">
        <v>5015</v>
      </c>
      <c r="B313" t="s">
        <v>445</v>
      </c>
      <c r="C313" s="83">
        <v>206549</v>
      </c>
      <c r="D313" s="83">
        <v>195294</v>
      </c>
      <c r="E313" s="83">
        <v>225117</v>
      </c>
      <c r="F313">
        <v>5.76</v>
      </c>
      <c r="G313">
        <v>-8.24</v>
      </c>
      <c r="H313" s="83">
        <v>1462952</v>
      </c>
      <c r="I313" s="83">
        <v>2063514</v>
      </c>
      <c r="J313">
        <v>-29.1</v>
      </c>
      <c r="K313" t="s">
        <v>627</v>
      </c>
    </row>
    <row r="314" spans="1:11" customFormat="1" hidden="1">
      <c r="A314">
        <v>5014</v>
      </c>
      <c r="B314" t="s">
        <v>718</v>
      </c>
      <c r="C314" s="83">
        <v>1409454</v>
      </c>
      <c r="D314" s="83">
        <v>1440015</v>
      </c>
      <c r="E314" s="83">
        <v>1483508</v>
      </c>
      <c r="F314">
        <v>-2.12</v>
      </c>
      <c r="G314">
        <v>-4.99</v>
      </c>
      <c r="H314" s="83">
        <v>10633755</v>
      </c>
      <c r="I314" s="83">
        <v>9812889</v>
      </c>
      <c r="J314">
        <v>8.36</v>
      </c>
      <c r="K314" t="s">
        <v>627</v>
      </c>
    </row>
    <row r="315" spans="1:11" customFormat="1" hidden="1">
      <c r="A315">
        <v>5013</v>
      </c>
      <c r="B315" t="s">
        <v>717</v>
      </c>
      <c r="C315" s="83">
        <v>388589</v>
      </c>
      <c r="D315" s="83">
        <v>361166</v>
      </c>
      <c r="E315" s="83">
        <v>509115</v>
      </c>
      <c r="F315">
        <v>7.59</v>
      </c>
      <c r="G315">
        <v>-23.67</v>
      </c>
      <c r="H315" s="83">
        <v>3748977</v>
      </c>
      <c r="I315" s="83">
        <v>4039135</v>
      </c>
      <c r="J315">
        <v>-7.18</v>
      </c>
      <c r="K315" t="s">
        <v>627</v>
      </c>
    </row>
    <row r="316" spans="1:11" customFormat="1" hidden="1">
      <c r="A316">
        <v>5011</v>
      </c>
      <c r="B316" t="s">
        <v>444</v>
      </c>
      <c r="C316" s="83">
        <v>89503</v>
      </c>
      <c r="D316" s="83">
        <v>93239</v>
      </c>
      <c r="E316" s="83">
        <v>74724</v>
      </c>
      <c r="F316">
        <v>-4</v>
      </c>
      <c r="G316">
        <v>19.77</v>
      </c>
      <c r="H316" s="83">
        <v>713164</v>
      </c>
      <c r="I316" s="83">
        <v>779862</v>
      </c>
      <c r="J316">
        <v>-8.5500000000000007</v>
      </c>
      <c r="K316" t="s">
        <v>627</v>
      </c>
    </row>
    <row r="317" spans="1:11" customFormat="1" hidden="1">
      <c r="A317">
        <v>5009</v>
      </c>
      <c r="B317" t="s">
        <v>443</v>
      </c>
      <c r="C317" s="83">
        <v>798444</v>
      </c>
      <c r="D317" s="83">
        <v>925107</v>
      </c>
      <c r="E317" s="83">
        <v>1076292</v>
      </c>
      <c r="F317">
        <v>-13.69</v>
      </c>
      <c r="G317">
        <v>-25.81</v>
      </c>
      <c r="H317" s="83">
        <v>8695640</v>
      </c>
      <c r="I317" s="83">
        <v>9125455</v>
      </c>
      <c r="J317">
        <v>-4.71</v>
      </c>
      <c r="K317" t="s">
        <v>627</v>
      </c>
    </row>
    <row r="318" spans="1:11" customFormat="1" hidden="1">
      <c r="A318">
        <v>4995</v>
      </c>
      <c r="B318" t="s">
        <v>823</v>
      </c>
      <c r="C318" s="83">
        <v>60001</v>
      </c>
      <c r="D318" s="83">
        <v>58279</v>
      </c>
      <c r="E318" s="83">
        <v>58661</v>
      </c>
      <c r="F318">
        <v>2.95</v>
      </c>
      <c r="G318">
        <v>2.2799999999999998</v>
      </c>
      <c r="H318" s="83">
        <v>629586</v>
      </c>
      <c r="I318" s="83">
        <v>639365</v>
      </c>
      <c r="J318">
        <v>-1.52</v>
      </c>
      <c r="K318" t="s">
        <v>627</v>
      </c>
    </row>
    <row r="319" spans="1:11" customFormat="1" hidden="1">
      <c r="A319">
        <v>3624</v>
      </c>
      <c r="B319" t="s">
        <v>394</v>
      </c>
      <c r="C319" s="83">
        <v>137068</v>
      </c>
      <c r="D319" s="83">
        <v>134578</v>
      </c>
      <c r="E319" s="83">
        <v>130190</v>
      </c>
      <c r="F319">
        <v>1.85</v>
      </c>
      <c r="G319">
        <v>5.28</v>
      </c>
      <c r="H319" s="83">
        <v>1167711</v>
      </c>
      <c r="I319" s="83">
        <v>1089303</v>
      </c>
      <c r="J319">
        <v>7.19</v>
      </c>
      <c r="K319" t="s">
        <v>627</v>
      </c>
    </row>
    <row r="320" spans="1:11" customFormat="1" hidden="1">
      <c r="A320">
        <v>4175</v>
      </c>
      <c r="B320" t="s">
        <v>416</v>
      </c>
      <c r="C320" s="83">
        <v>324997</v>
      </c>
      <c r="D320" s="83">
        <v>311138</v>
      </c>
      <c r="E320" s="83">
        <v>310029</v>
      </c>
      <c r="F320">
        <v>4.45</v>
      </c>
      <c r="G320">
        <v>4.82</v>
      </c>
      <c r="H320" s="83">
        <v>2825514</v>
      </c>
      <c r="I320" s="83">
        <v>2643478</v>
      </c>
      <c r="J320">
        <v>6.88</v>
      </c>
      <c r="K320" t="s">
        <v>627</v>
      </c>
    </row>
    <row r="321" spans="1:11" customFormat="1" hidden="1">
      <c r="A321">
        <v>4973</v>
      </c>
      <c r="B321" t="s">
        <v>744</v>
      </c>
      <c r="C321" s="83">
        <v>429559</v>
      </c>
      <c r="D321" s="83">
        <v>408610</v>
      </c>
      <c r="E321" s="83">
        <v>576138</v>
      </c>
      <c r="F321">
        <v>5.12</v>
      </c>
      <c r="G321">
        <v>-25.44</v>
      </c>
      <c r="H321" s="83">
        <v>4016174</v>
      </c>
      <c r="I321" s="83">
        <v>5178773</v>
      </c>
      <c r="J321">
        <v>-22.44</v>
      </c>
      <c r="K321" t="s">
        <v>627</v>
      </c>
    </row>
    <row r="322" spans="1:11" customFormat="1" hidden="1">
      <c r="A322">
        <v>5202</v>
      </c>
      <c r="B322" t="s">
        <v>960</v>
      </c>
      <c r="C322" s="83">
        <v>26452</v>
      </c>
      <c r="D322" s="83">
        <v>25661</v>
      </c>
      <c r="E322" s="83">
        <v>24871</v>
      </c>
      <c r="F322">
        <v>3.08</v>
      </c>
      <c r="G322">
        <v>6.35</v>
      </c>
      <c r="H322" s="83">
        <v>206725</v>
      </c>
      <c r="I322" s="83">
        <v>194506</v>
      </c>
      <c r="J322">
        <v>6.28</v>
      </c>
      <c r="K322" t="s">
        <v>627</v>
      </c>
    </row>
    <row r="323" spans="1:11" customFormat="1" hidden="1">
      <c r="A323">
        <v>8446</v>
      </c>
      <c r="B323" t="s">
        <v>1074</v>
      </c>
      <c r="C323" s="83">
        <v>96407</v>
      </c>
      <c r="D323" s="83">
        <v>90314</v>
      </c>
      <c r="E323" s="83">
        <v>61432</v>
      </c>
      <c r="F323">
        <v>6.74</v>
      </c>
      <c r="G323">
        <v>56.93</v>
      </c>
      <c r="H323" s="83">
        <v>739397</v>
      </c>
      <c r="I323" s="83">
        <v>697323</v>
      </c>
      <c r="J323">
        <v>6.03</v>
      </c>
      <c r="K323" t="s">
        <v>1075</v>
      </c>
    </row>
    <row r="324" spans="1:11" customFormat="1" hidden="1">
      <c r="A324">
        <v>4103</v>
      </c>
      <c r="B324" t="s">
        <v>679</v>
      </c>
      <c r="C324" s="83">
        <v>811703</v>
      </c>
      <c r="D324" s="83">
        <v>687946</v>
      </c>
      <c r="E324" s="83">
        <v>729294</v>
      </c>
      <c r="F324">
        <v>17.98</v>
      </c>
      <c r="G324">
        <v>11.29</v>
      </c>
      <c r="H324" s="83">
        <v>4174218</v>
      </c>
      <c r="I324" s="83">
        <v>3939504</v>
      </c>
      <c r="J324">
        <v>5.95</v>
      </c>
      <c r="K324" t="s">
        <v>627</v>
      </c>
    </row>
    <row r="325" spans="1:11" customFormat="1" hidden="1">
      <c r="A325">
        <v>4950</v>
      </c>
      <c r="B325" t="s">
        <v>439</v>
      </c>
      <c r="C325" s="83">
        <v>44997</v>
      </c>
      <c r="D325" s="83">
        <v>38725</v>
      </c>
      <c r="E325" s="83">
        <v>32643</v>
      </c>
      <c r="F325">
        <v>16.190000000000001</v>
      </c>
      <c r="G325">
        <v>37.840000000000003</v>
      </c>
      <c r="H325" s="83">
        <v>250973</v>
      </c>
      <c r="I325" s="83">
        <v>316353</v>
      </c>
      <c r="J325">
        <v>-20.66</v>
      </c>
      <c r="K325" t="s">
        <v>821</v>
      </c>
    </row>
    <row r="326" spans="1:11" customFormat="1" hidden="1">
      <c r="A326">
        <v>4946</v>
      </c>
      <c r="B326" t="s">
        <v>1067</v>
      </c>
      <c r="C326" s="83">
        <v>31940</v>
      </c>
      <c r="D326" s="83">
        <v>30919</v>
      </c>
      <c r="E326" s="83">
        <v>62832</v>
      </c>
      <c r="F326">
        <v>3.3</v>
      </c>
      <c r="G326">
        <v>-49.16</v>
      </c>
      <c r="H326" s="83">
        <v>370453</v>
      </c>
      <c r="I326" s="83">
        <v>675408</v>
      </c>
      <c r="J326">
        <v>-45.15</v>
      </c>
      <c r="K326" t="s">
        <v>627</v>
      </c>
    </row>
    <row r="327" spans="1:11" customFormat="1" hidden="1">
      <c r="A327">
        <v>4944</v>
      </c>
      <c r="B327" t="s">
        <v>820</v>
      </c>
      <c r="C327" s="83">
        <v>150072</v>
      </c>
      <c r="D327" s="83">
        <v>168529</v>
      </c>
      <c r="E327" s="83">
        <v>252354</v>
      </c>
      <c r="F327">
        <v>-10.95</v>
      </c>
      <c r="G327">
        <v>-40.53</v>
      </c>
      <c r="H327" s="83">
        <v>1769221</v>
      </c>
      <c r="I327" s="83">
        <v>2049685</v>
      </c>
      <c r="J327">
        <v>-13.68</v>
      </c>
      <c r="K327" t="s">
        <v>627</v>
      </c>
    </row>
    <row r="328" spans="1:11" customFormat="1" hidden="1">
      <c r="A328">
        <v>4939</v>
      </c>
      <c r="B328" t="s">
        <v>438</v>
      </c>
      <c r="C328" s="83">
        <v>163098</v>
      </c>
      <c r="D328" s="83">
        <v>143735</v>
      </c>
      <c r="E328" s="83">
        <v>213413</v>
      </c>
      <c r="F328">
        <v>13.47</v>
      </c>
      <c r="G328">
        <v>-23.57</v>
      </c>
      <c r="H328" s="83">
        <v>1174391</v>
      </c>
      <c r="I328" s="83">
        <v>1454893</v>
      </c>
      <c r="J328">
        <v>-19.27</v>
      </c>
      <c r="K328" t="s">
        <v>627</v>
      </c>
    </row>
    <row r="329" spans="1:11" customFormat="1" hidden="1">
      <c r="A329">
        <v>3299</v>
      </c>
      <c r="B329" t="s">
        <v>357</v>
      </c>
      <c r="C329" s="83">
        <v>243943</v>
      </c>
      <c r="D329" s="83">
        <v>243090</v>
      </c>
      <c r="E329" s="83">
        <v>220212</v>
      </c>
      <c r="F329">
        <v>0.35</v>
      </c>
      <c r="G329">
        <v>10.77</v>
      </c>
      <c r="H329" s="83">
        <v>1994123</v>
      </c>
      <c r="I329" s="83">
        <v>1882030</v>
      </c>
      <c r="J329">
        <v>5.95</v>
      </c>
      <c r="K329" t="s">
        <v>627</v>
      </c>
    </row>
    <row r="330" spans="1:11" customFormat="1" hidden="1">
      <c r="A330">
        <v>4911</v>
      </c>
      <c r="B330" t="s">
        <v>436</v>
      </c>
      <c r="C330" s="83">
        <v>4796</v>
      </c>
      <c r="D330" s="83">
        <v>4737</v>
      </c>
      <c r="E330" s="83">
        <v>8000</v>
      </c>
      <c r="F330">
        <v>1.24</v>
      </c>
      <c r="G330">
        <v>-40.049999999999997</v>
      </c>
      <c r="H330" s="83">
        <v>27022</v>
      </c>
      <c r="I330" s="83">
        <v>54236</v>
      </c>
      <c r="J330">
        <v>-50.17</v>
      </c>
      <c r="K330" t="s">
        <v>712</v>
      </c>
    </row>
    <row r="331" spans="1:11" customFormat="1" hidden="1">
      <c r="A331">
        <v>4909</v>
      </c>
      <c r="B331" t="s">
        <v>435</v>
      </c>
      <c r="C331" s="83">
        <v>135995</v>
      </c>
      <c r="D331" s="83">
        <v>127574</v>
      </c>
      <c r="E331" s="83">
        <v>142404</v>
      </c>
      <c r="F331">
        <v>6.6</v>
      </c>
      <c r="G331">
        <v>-4.5</v>
      </c>
      <c r="H331" s="83">
        <v>1134123</v>
      </c>
      <c r="I331" s="83">
        <v>1316236</v>
      </c>
      <c r="J331">
        <v>-13.83</v>
      </c>
      <c r="K331" t="s">
        <v>627</v>
      </c>
    </row>
    <row r="332" spans="1:11" customFormat="1" hidden="1">
      <c r="A332">
        <v>4908</v>
      </c>
      <c r="B332" t="s">
        <v>850</v>
      </c>
      <c r="C332" s="83">
        <v>89983</v>
      </c>
      <c r="D332" s="83">
        <v>88311</v>
      </c>
      <c r="E332" s="83">
        <v>100654</v>
      </c>
      <c r="F332">
        <v>1.89</v>
      </c>
      <c r="G332">
        <v>-10.6</v>
      </c>
      <c r="H332" s="83">
        <v>741019</v>
      </c>
      <c r="I332" s="83">
        <v>1010376</v>
      </c>
      <c r="J332">
        <v>-26.65</v>
      </c>
      <c r="K332" t="s">
        <v>627</v>
      </c>
    </row>
    <row r="333" spans="1:11" customFormat="1" hidden="1">
      <c r="A333">
        <v>4433</v>
      </c>
      <c r="B333" t="s">
        <v>641</v>
      </c>
      <c r="C333" s="83">
        <v>132140</v>
      </c>
      <c r="D333" s="83">
        <v>117418</v>
      </c>
      <c r="E333" s="83">
        <v>113298</v>
      </c>
      <c r="F333">
        <v>12.53</v>
      </c>
      <c r="G333">
        <v>16.63</v>
      </c>
      <c r="H333" s="83">
        <v>1101452</v>
      </c>
      <c r="I333" s="83">
        <v>1041587</v>
      </c>
      <c r="J333">
        <v>5.74</v>
      </c>
      <c r="K333" t="s">
        <v>627</v>
      </c>
    </row>
    <row r="334" spans="1:11" customFormat="1" hidden="1">
      <c r="A334">
        <v>4905</v>
      </c>
      <c r="B334" t="s">
        <v>849</v>
      </c>
      <c r="C334" s="83">
        <v>12183</v>
      </c>
      <c r="D334" s="83">
        <v>8276</v>
      </c>
      <c r="E334" s="83">
        <v>9596</v>
      </c>
      <c r="F334">
        <v>47.2</v>
      </c>
      <c r="G334">
        <v>26.95</v>
      </c>
      <c r="H334" s="83">
        <v>84244</v>
      </c>
      <c r="I334" s="83">
        <v>120718</v>
      </c>
      <c r="J334">
        <v>-30.21</v>
      </c>
      <c r="K334" t="s">
        <v>627</v>
      </c>
    </row>
    <row r="335" spans="1:11" customFormat="1" hidden="1">
      <c r="A335">
        <v>4903</v>
      </c>
      <c r="B335" t="s">
        <v>848</v>
      </c>
      <c r="C335" s="83">
        <v>161398</v>
      </c>
      <c r="D335" s="83">
        <v>104638</v>
      </c>
      <c r="E335" s="83">
        <v>177058</v>
      </c>
      <c r="F335">
        <v>54.24</v>
      </c>
      <c r="G335">
        <v>-8.84</v>
      </c>
      <c r="H335" s="83">
        <v>1215370</v>
      </c>
      <c r="I335" s="83">
        <v>1145255</v>
      </c>
      <c r="J335">
        <v>6.12</v>
      </c>
      <c r="K335" t="s">
        <v>627</v>
      </c>
    </row>
    <row r="336" spans="1:11" customFormat="1" hidden="1">
      <c r="A336">
        <v>4747</v>
      </c>
      <c r="B336" t="s">
        <v>711</v>
      </c>
      <c r="C336" s="83">
        <v>28410</v>
      </c>
      <c r="D336" s="83">
        <v>24826</v>
      </c>
      <c r="E336" s="83">
        <v>32523</v>
      </c>
      <c r="F336" s="82">
        <v>14.43</v>
      </c>
      <c r="G336">
        <v>-12.64</v>
      </c>
      <c r="H336" s="83">
        <v>277205</v>
      </c>
      <c r="I336" s="83">
        <v>273569</v>
      </c>
      <c r="J336">
        <v>1.32</v>
      </c>
      <c r="K336" t="s">
        <v>627</v>
      </c>
    </row>
    <row r="337" spans="1:11" customFormat="1" hidden="1">
      <c r="A337">
        <v>4743</v>
      </c>
      <c r="B337" t="s">
        <v>710</v>
      </c>
      <c r="C337" s="83">
        <v>652</v>
      </c>
      <c r="D337" s="83">
        <v>961</v>
      </c>
      <c r="E337" s="83">
        <v>691</v>
      </c>
      <c r="F337">
        <v>-32.15</v>
      </c>
      <c r="G337">
        <v>-5.64</v>
      </c>
      <c r="H337" s="83">
        <v>6602</v>
      </c>
      <c r="I337" s="83">
        <v>4607</v>
      </c>
      <c r="J337">
        <v>43.3</v>
      </c>
      <c r="K337" t="s">
        <v>627</v>
      </c>
    </row>
    <row r="338" spans="1:11" customFormat="1" hidden="1">
      <c r="A338">
        <v>3141</v>
      </c>
      <c r="B338" t="s">
        <v>334</v>
      </c>
      <c r="C338" s="83">
        <v>94957</v>
      </c>
      <c r="D338" s="83">
        <v>91378</v>
      </c>
      <c r="E338" s="83">
        <v>79114</v>
      </c>
      <c r="F338">
        <v>3.91</v>
      </c>
      <c r="G338">
        <v>20.02</v>
      </c>
      <c r="H338" s="83">
        <v>799956</v>
      </c>
      <c r="I338" s="83">
        <v>756692</v>
      </c>
      <c r="J338">
        <v>5.71</v>
      </c>
      <c r="K338" t="s">
        <v>627</v>
      </c>
    </row>
    <row r="339" spans="1:11" customFormat="1" hidden="1">
      <c r="A339">
        <v>1787</v>
      </c>
      <c r="B339" t="s">
        <v>312</v>
      </c>
      <c r="C339" s="83">
        <v>135477</v>
      </c>
      <c r="D339" s="83">
        <v>125398</v>
      </c>
      <c r="E339" s="83">
        <v>124147</v>
      </c>
      <c r="F339">
        <v>8.0299999999999994</v>
      </c>
      <c r="G339">
        <v>9.1199999999999992</v>
      </c>
      <c r="H339" s="83">
        <v>1088709</v>
      </c>
      <c r="I339" s="83">
        <v>1030502</v>
      </c>
      <c r="J339">
        <v>5.64</v>
      </c>
      <c r="K339" t="s">
        <v>627</v>
      </c>
    </row>
    <row r="340" spans="1:11" customFormat="1" hidden="1">
      <c r="A340">
        <v>6175</v>
      </c>
      <c r="B340" t="s">
        <v>505</v>
      </c>
      <c r="C340" s="83">
        <v>160686</v>
      </c>
      <c r="D340" s="83">
        <v>153456</v>
      </c>
      <c r="E340" s="83">
        <v>155800</v>
      </c>
      <c r="F340">
        <v>4.71</v>
      </c>
      <c r="G340">
        <v>3.13</v>
      </c>
      <c r="H340" s="83">
        <v>1504816</v>
      </c>
      <c r="I340" s="83">
        <v>1425041</v>
      </c>
      <c r="J340">
        <v>5.59</v>
      </c>
      <c r="K340" t="s">
        <v>627</v>
      </c>
    </row>
    <row r="341" spans="1:11" customFormat="1" hidden="1">
      <c r="A341">
        <v>4729</v>
      </c>
      <c r="B341" t="s">
        <v>433</v>
      </c>
      <c r="C341" s="83">
        <v>235693</v>
      </c>
      <c r="D341" s="83">
        <v>205675</v>
      </c>
      <c r="E341" s="83">
        <v>673606</v>
      </c>
      <c r="F341">
        <v>14.59</v>
      </c>
      <c r="G341">
        <v>-65.010000000000005</v>
      </c>
      <c r="H341" s="83">
        <v>4225706</v>
      </c>
      <c r="I341" s="83">
        <v>5560699</v>
      </c>
      <c r="J341">
        <v>-24</v>
      </c>
      <c r="K341" t="s">
        <v>819</v>
      </c>
    </row>
    <row r="342" spans="1:11" customFormat="1" hidden="1">
      <c r="A342">
        <v>4728</v>
      </c>
      <c r="B342" t="s">
        <v>432</v>
      </c>
      <c r="C342" s="83">
        <v>14684</v>
      </c>
      <c r="D342" s="83">
        <v>11869</v>
      </c>
      <c r="E342" s="83">
        <v>16458</v>
      </c>
      <c r="F342">
        <v>23.71</v>
      </c>
      <c r="G342">
        <v>-10.77</v>
      </c>
      <c r="H342" s="83">
        <v>96144</v>
      </c>
      <c r="I342" s="83">
        <v>127669</v>
      </c>
      <c r="J342">
        <v>-24.69</v>
      </c>
      <c r="K342" t="s">
        <v>627</v>
      </c>
    </row>
    <row r="343" spans="1:11" customFormat="1" hidden="1">
      <c r="A343">
        <v>6127</v>
      </c>
      <c r="B343" t="s">
        <v>908</v>
      </c>
      <c r="C343" s="83">
        <v>97204</v>
      </c>
      <c r="D343" s="83">
        <v>80774</v>
      </c>
      <c r="E343" s="83">
        <v>88386</v>
      </c>
      <c r="F343">
        <v>20.34</v>
      </c>
      <c r="G343">
        <v>9.9700000000000006</v>
      </c>
      <c r="H343" s="83">
        <v>817613</v>
      </c>
      <c r="I343" s="83">
        <v>774838</v>
      </c>
      <c r="J343">
        <v>5.52</v>
      </c>
      <c r="K343" t="s">
        <v>909</v>
      </c>
    </row>
    <row r="344" spans="1:11" customFormat="1" hidden="1">
      <c r="A344">
        <v>4721</v>
      </c>
      <c r="B344" t="s">
        <v>431</v>
      </c>
      <c r="C344" s="83">
        <v>155545</v>
      </c>
      <c r="D344" s="83">
        <v>147812</v>
      </c>
      <c r="E344" s="83">
        <v>235767</v>
      </c>
      <c r="F344">
        <v>5.23</v>
      </c>
      <c r="G344">
        <v>-34.020000000000003</v>
      </c>
      <c r="H344" s="83">
        <v>1533627</v>
      </c>
      <c r="I344" s="83">
        <v>2035816</v>
      </c>
      <c r="J344">
        <v>-24.66</v>
      </c>
      <c r="K344" t="s">
        <v>627</v>
      </c>
    </row>
    <row r="345" spans="1:11" customFormat="1" hidden="1">
      <c r="A345">
        <v>4716</v>
      </c>
      <c r="B345" t="s">
        <v>668</v>
      </c>
      <c r="C345" s="83">
        <v>88867</v>
      </c>
      <c r="D345" s="83">
        <v>92463</v>
      </c>
      <c r="E345" s="83">
        <v>97520</v>
      </c>
      <c r="F345">
        <v>-3.88</v>
      </c>
      <c r="G345">
        <v>-8.8699999999999992</v>
      </c>
      <c r="H345" s="83">
        <v>814069</v>
      </c>
      <c r="I345" s="83">
        <v>956405</v>
      </c>
      <c r="J345">
        <v>-14.88</v>
      </c>
      <c r="K345" t="s">
        <v>627</v>
      </c>
    </row>
    <row r="346" spans="1:11" customFormat="1" hidden="1">
      <c r="A346">
        <v>4714</v>
      </c>
      <c r="B346" t="s">
        <v>430</v>
      </c>
      <c r="C346" s="83">
        <v>53442</v>
      </c>
      <c r="D346" s="83">
        <v>57238</v>
      </c>
      <c r="E346" s="83">
        <v>57696</v>
      </c>
      <c r="F346">
        <v>-6.63</v>
      </c>
      <c r="G346">
        <v>-7.37</v>
      </c>
      <c r="H346" s="83">
        <v>621306</v>
      </c>
      <c r="I346" s="83">
        <v>558762</v>
      </c>
      <c r="J346">
        <v>11.19</v>
      </c>
      <c r="K346" t="s">
        <v>627</v>
      </c>
    </row>
    <row r="347" spans="1:11" customFormat="1" hidden="1">
      <c r="A347">
        <v>4712</v>
      </c>
      <c r="B347" t="s">
        <v>429</v>
      </c>
      <c r="C347" s="83">
        <v>70778</v>
      </c>
      <c r="D347" s="83">
        <v>60538</v>
      </c>
      <c r="E347" s="83">
        <v>146269</v>
      </c>
      <c r="F347">
        <v>16.91</v>
      </c>
      <c r="G347">
        <v>-51.61</v>
      </c>
      <c r="H347" s="83">
        <v>869898</v>
      </c>
      <c r="I347" s="83">
        <v>1416471</v>
      </c>
      <c r="J347">
        <v>-38.58</v>
      </c>
      <c r="K347" t="s">
        <v>630</v>
      </c>
    </row>
    <row r="348" spans="1:11" customFormat="1" hidden="1">
      <c r="A348">
        <v>4711</v>
      </c>
      <c r="B348" t="s">
        <v>667</v>
      </c>
      <c r="C348" s="83">
        <v>91312</v>
      </c>
      <c r="D348" s="83">
        <v>91111</v>
      </c>
      <c r="E348" s="83">
        <v>119676</v>
      </c>
      <c r="F348">
        <v>0.22</v>
      </c>
      <c r="G348">
        <v>-23.7</v>
      </c>
      <c r="H348" s="83">
        <v>913964</v>
      </c>
      <c r="I348" s="83">
        <v>1094422</v>
      </c>
      <c r="J348">
        <v>-16.48</v>
      </c>
      <c r="K348" t="s">
        <v>627</v>
      </c>
    </row>
    <row r="349" spans="1:11" customFormat="1" hidden="1">
      <c r="A349">
        <v>4707</v>
      </c>
      <c r="B349" t="s">
        <v>428</v>
      </c>
      <c r="C349" s="83">
        <v>172638</v>
      </c>
      <c r="D349" s="83">
        <v>160431</v>
      </c>
      <c r="E349" s="83">
        <v>183868</v>
      </c>
      <c r="F349">
        <v>7.6</v>
      </c>
      <c r="G349">
        <v>-6.1</v>
      </c>
      <c r="H349" s="83">
        <v>1582990</v>
      </c>
      <c r="I349" s="83">
        <v>1777803</v>
      </c>
      <c r="J349">
        <v>-10.95</v>
      </c>
      <c r="K349" t="s">
        <v>666</v>
      </c>
    </row>
    <row r="350" spans="1:11" customFormat="1" hidden="1">
      <c r="A350">
        <v>4706</v>
      </c>
      <c r="B350" t="s">
        <v>665</v>
      </c>
      <c r="C350" s="83">
        <v>133384</v>
      </c>
      <c r="D350" s="83">
        <v>117767</v>
      </c>
      <c r="E350" s="83">
        <v>131124</v>
      </c>
      <c r="F350">
        <v>13.26</v>
      </c>
      <c r="G350">
        <v>1.72</v>
      </c>
      <c r="H350" s="83">
        <v>1093194</v>
      </c>
      <c r="I350" s="83">
        <v>1153998</v>
      </c>
      <c r="J350">
        <v>-5.26</v>
      </c>
      <c r="K350" t="s">
        <v>627</v>
      </c>
    </row>
    <row r="351" spans="1:11" customFormat="1" hidden="1">
      <c r="A351">
        <v>4703</v>
      </c>
      <c r="B351" t="s">
        <v>817</v>
      </c>
      <c r="C351" s="83">
        <v>20875</v>
      </c>
      <c r="D351" s="83">
        <v>62424</v>
      </c>
      <c r="E351" s="83">
        <v>309832</v>
      </c>
      <c r="F351">
        <v>-66.55</v>
      </c>
      <c r="G351">
        <v>-93.26</v>
      </c>
      <c r="H351" s="83">
        <v>1462720</v>
      </c>
      <c r="I351" s="83">
        <v>1969986</v>
      </c>
      <c r="J351">
        <v>-25.74</v>
      </c>
      <c r="K351" t="s">
        <v>818</v>
      </c>
    </row>
    <row r="352" spans="1:11" customFormat="1" hidden="1">
      <c r="A352">
        <v>4702</v>
      </c>
      <c r="B352" t="s">
        <v>427</v>
      </c>
      <c r="C352" s="83">
        <v>88368</v>
      </c>
      <c r="D352" s="83">
        <v>87115</v>
      </c>
      <c r="E352" s="83">
        <v>91463</v>
      </c>
      <c r="F352">
        <v>1.43</v>
      </c>
      <c r="G352">
        <v>-3.38</v>
      </c>
      <c r="H352" s="83">
        <v>832964</v>
      </c>
      <c r="I352" s="83">
        <v>959563</v>
      </c>
      <c r="J352">
        <v>-13.19</v>
      </c>
      <c r="K352" t="s">
        <v>627</v>
      </c>
    </row>
    <row r="353" spans="1:11" customFormat="1" hidden="1">
      <c r="A353">
        <v>5384</v>
      </c>
      <c r="B353" t="s">
        <v>469</v>
      </c>
      <c r="C353" s="83">
        <v>995061</v>
      </c>
      <c r="D353" s="83">
        <v>808568</v>
      </c>
      <c r="E353" s="83">
        <v>759470</v>
      </c>
      <c r="F353">
        <v>23.06</v>
      </c>
      <c r="G353">
        <v>31.02</v>
      </c>
      <c r="H353" s="83">
        <v>8349152</v>
      </c>
      <c r="I353" s="83">
        <v>7965264</v>
      </c>
      <c r="J353">
        <v>4.8099999999999996</v>
      </c>
      <c r="K353" t="s">
        <v>627</v>
      </c>
    </row>
    <row r="354" spans="1:11" customFormat="1" hidden="1">
      <c r="A354">
        <v>4550</v>
      </c>
      <c r="B354" t="s">
        <v>426</v>
      </c>
      <c r="C354" s="83">
        <v>107073</v>
      </c>
      <c r="D354" s="83">
        <v>99130</v>
      </c>
      <c r="E354" s="83">
        <v>113604</v>
      </c>
      <c r="F354">
        <v>8.01</v>
      </c>
      <c r="G354">
        <v>-5.74</v>
      </c>
      <c r="H354" s="83">
        <v>857992</v>
      </c>
      <c r="I354" s="83">
        <v>764647</v>
      </c>
      <c r="J354">
        <v>12.2</v>
      </c>
      <c r="K354" t="s">
        <v>627</v>
      </c>
    </row>
    <row r="355" spans="1:11" customFormat="1" hidden="1">
      <c r="A355">
        <v>4549</v>
      </c>
      <c r="B355" t="s">
        <v>425</v>
      </c>
      <c r="C355" s="83">
        <v>65192</v>
      </c>
      <c r="D355" s="83">
        <v>75698</v>
      </c>
      <c r="E355" s="83">
        <v>75944</v>
      </c>
      <c r="F355">
        <v>-13.87</v>
      </c>
      <c r="G355">
        <v>-14.15</v>
      </c>
      <c r="H355" s="83">
        <v>618716</v>
      </c>
      <c r="I355" s="83">
        <v>663242</v>
      </c>
      <c r="J355">
        <v>-6.71</v>
      </c>
      <c r="K355" t="s">
        <v>627</v>
      </c>
    </row>
    <row r="356" spans="1:11" customFormat="1" hidden="1">
      <c r="A356">
        <v>4542</v>
      </c>
      <c r="B356" t="s">
        <v>424</v>
      </c>
      <c r="C356" s="83">
        <v>60602</v>
      </c>
      <c r="D356" s="83">
        <v>64136</v>
      </c>
      <c r="E356" s="83">
        <v>98318</v>
      </c>
      <c r="F356">
        <v>-5.51</v>
      </c>
      <c r="G356">
        <v>-38.36</v>
      </c>
      <c r="H356" s="83">
        <v>412431</v>
      </c>
      <c r="I356" s="83">
        <v>569509</v>
      </c>
      <c r="J356">
        <v>-27.58</v>
      </c>
      <c r="K356" t="s">
        <v>627</v>
      </c>
    </row>
    <row r="357" spans="1:11" customFormat="1" hidden="1">
      <c r="A357">
        <v>4541</v>
      </c>
      <c r="B357" t="s">
        <v>1046</v>
      </c>
      <c r="C357" s="83">
        <v>96113</v>
      </c>
      <c r="D357" s="83">
        <v>86254</v>
      </c>
      <c r="E357" s="83">
        <v>96788</v>
      </c>
      <c r="F357">
        <v>11.43</v>
      </c>
      <c r="G357">
        <v>-0.69</v>
      </c>
      <c r="H357" s="83">
        <v>772882</v>
      </c>
      <c r="I357" s="83">
        <v>775018</v>
      </c>
      <c r="J357">
        <v>-0.27</v>
      </c>
      <c r="K357" t="s">
        <v>627</v>
      </c>
    </row>
    <row r="358" spans="1:11" customFormat="1" hidden="1">
      <c r="A358">
        <v>4535</v>
      </c>
      <c r="B358" t="s">
        <v>656</v>
      </c>
      <c r="C358" s="83">
        <v>281534</v>
      </c>
      <c r="D358" s="83">
        <v>258291</v>
      </c>
      <c r="E358" s="83">
        <v>281458</v>
      </c>
      <c r="F358">
        <v>8.99</v>
      </c>
      <c r="G358">
        <v>0.02</v>
      </c>
      <c r="H358" s="83">
        <v>2503127</v>
      </c>
      <c r="I358" s="83">
        <v>2584409</v>
      </c>
      <c r="J358">
        <v>-3.14</v>
      </c>
      <c r="K358" t="s">
        <v>627</v>
      </c>
    </row>
    <row r="359" spans="1:11" customFormat="1" hidden="1">
      <c r="A359">
        <v>4534</v>
      </c>
      <c r="B359" t="s">
        <v>655</v>
      </c>
      <c r="C359" s="83">
        <v>86816</v>
      </c>
      <c r="D359" s="83">
        <v>103235</v>
      </c>
      <c r="E359" s="83">
        <v>90818</v>
      </c>
      <c r="F359">
        <v>-15.9</v>
      </c>
      <c r="G359">
        <v>-4.4000000000000004</v>
      </c>
      <c r="H359" s="83">
        <v>861246</v>
      </c>
      <c r="I359" s="83">
        <v>855038</v>
      </c>
      <c r="J359">
        <v>0.72</v>
      </c>
      <c r="K359" t="s">
        <v>627</v>
      </c>
    </row>
    <row r="360" spans="1:11" customFormat="1" hidden="1">
      <c r="A360">
        <v>4533</v>
      </c>
      <c r="B360" t="s">
        <v>654</v>
      </c>
      <c r="C360" s="83">
        <v>279977</v>
      </c>
      <c r="D360" s="83">
        <v>160188</v>
      </c>
      <c r="E360" s="83">
        <v>367852</v>
      </c>
      <c r="F360">
        <v>74.78</v>
      </c>
      <c r="G360">
        <v>-23.88</v>
      </c>
      <c r="H360" s="83">
        <v>2547313</v>
      </c>
      <c r="I360" s="83">
        <v>3076374</v>
      </c>
      <c r="J360">
        <v>-17.190000000000001</v>
      </c>
      <c r="K360" t="s">
        <v>627</v>
      </c>
    </row>
    <row r="361" spans="1:11" customFormat="1" hidden="1">
      <c r="A361">
        <v>3218</v>
      </c>
      <c r="B361" t="s">
        <v>341</v>
      </c>
      <c r="C361" s="83">
        <v>88824</v>
      </c>
      <c r="D361" s="83">
        <v>87629</v>
      </c>
      <c r="E361" s="83">
        <v>88593</v>
      </c>
      <c r="F361">
        <v>1.36</v>
      </c>
      <c r="G361">
        <v>0.26</v>
      </c>
      <c r="H361" s="83">
        <v>769095</v>
      </c>
      <c r="I361" s="83">
        <v>737067</v>
      </c>
      <c r="J361">
        <v>4.34</v>
      </c>
      <c r="K361" t="s">
        <v>627</v>
      </c>
    </row>
    <row r="362" spans="1:11" customFormat="1" hidden="1">
      <c r="A362">
        <v>4527</v>
      </c>
      <c r="B362" t="s">
        <v>652</v>
      </c>
      <c r="C362" s="83">
        <v>227788</v>
      </c>
      <c r="D362" s="83">
        <v>176296</v>
      </c>
      <c r="E362" s="83">
        <v>256445</v>
      </c>
      <c r="F362">
        <v>29.2</v>
      </c>
      <c r="G362">
        <v>-11.17</v>
      </c>
      <c r="H362" s="83">
        <v>1720184</v>
      </c>
      <c r="I362" s="83">
        <v>1875184</v>
      </c>
      <c r="J362">
        <v>-8.26</v>
      </c>
      <c r="K362" t="s">
        <v>627</v>
      </c>
    </row>
    <row r="363" spans="1:11" customFormat="1" hidden="1">
      <c r="A363">
        <v>8040</v>
      </c>
      <c r="B363" t="s">
        <v>761</v>
      </c>
      <c r="C363" s="83">
        <v>58561</v>
      </c>
      <c r="D363" s="83">
        <v>48087</v>
      </c>
      <c r="E363" s="83">
        <v>49295</v>
      </c>
      <c r="F363">
        <v>21.78</v>
      </c>
      <c r="G363">
        <v>18.79</v>
      </c>
      <c r="H363" s="83">
        <v>512114</v>
      </c>
      <c r="I363" s="83">
        <v>491252</v>
      </c>
      <c r="J363">
        <v>4.24</v>
      </c>
      <c r="K363" t="s">
        <v>627</v>
      </c>
    </row>
    <row r="364" spans="1:11" customFormat="1" hidden="1">
      <c r="A364">
        <v>3652</v>
      </c>
      <c r="B364" t="s">
        <v>398</v>
      </c>
      <c r="C364" s="83">
        <v>174720</v>
      </c>
      <c r="D364" s="83">
        <v>159305</v>
      </c>
      <c r="E364" s="83">
        <v>159105</v>
      </c>
      <c r="F364">
        <v>9.67</v>
      </c>
      <c r="G364">
        <v>9.81</v>
      </c>
      <c r="H364" s="83">
        <v>1455465</v>
      </c>
      <c r="I364" s="83">
        <v>1398646</v>
      </c>
      <c r="J364">
        <v>4.0599999999999996</v>
      </c>
      <c r="K364" t="s">
        <v>627</v>
      </c>
    </row>
    <row r="365" spans="1:11" customFormat="1" hidden="1">
      <c r="A365">
        <v>1565</v>
      </c>
      <c r="B365" t="s">
        <v>670</v>
      </c>
      <c r="C365" s="83">
        <v>534045</v>
      </c>
      <c r="D365" s="83">
        <v>470788</v>
      </c>
      <c r="E365" s="83">
        <v>440640</v>
      </c>
      <c r="F365">
        <v>13.43</v>
      </c>
      <c r="G365">
        <v>21.19</v>
      </c>
      <c r="H365" s="83">
        <v>4225416</v>
      </c>
      <c r="I365" s="83">
        <v>4070984</v>
      </c>
      <c r="J365">
        <v>3.79</v>
      </c>
      <c r="K365" t="s">
        <v>627</v>
      </c>
    </row>
    <row r="366" spans="1:11" customFormat="1" hidden="1">
      <c r="A366">
        <v>4503</v>
      </c>
      <c r="B366" t="s">
        <v>422</v>
      </c>
      <c r="C366" s="83">
        <v>18615</v>
      </c>
      <c r="D366" s="83">
        <v>6763</v>
      </c>
      <c r="E366" s="83">
        <v>23292</v>
      </c>
      <c r="F366">
        <v>175.24</v>
      </c>
      <c r="G366">
        <v>-20.07</v>
      </c>
      <c r="H366" s="83">
        <v>141772</v>
      </c>
      <c r="I366" s="83">
        <v>134672</v>
      </c>
      <c r="J366">
        <v>5.27</v>
      </c>
      <c r="K366" t="s">
        <v>627</v>
      </c>
    </row>
    <row r="367" spans="1:11" customFormat="1" hidden="1">
      <c r="A367">
        <v>8109</v>
      </c>
      <c r="B367" t="s">
        <v>933</v>
      </c>
      <c r="C367" s="83">
        <v>86235</v>
      </c>
      <c r="D367" s="83">
        <v>81863</v>
      </c>
      <c r="E367" s="83">
        <v>75270</v>
      </c>
      <c r="F367">
        <v>5.34</v>
      </c>
      <c r="G367">
        <v>14.56</v>
      </c>
      <c r="H367" s="83">
        <v>685966</v>
      </c>
      <c r="I367" s="83">
        <v>661238</v>
      </c>
      <c r="J367">
        <v>3.73</v>
      </c>
      <c r="K367" t="s">
        <v>627</v>
      </c>
    </row>
    <row r="368" spans="1:11" customFormat="1" hidden="1">
      <c r="A368">
        <v>8921</v>
      </c>
      <c r="B368" t="s">
        <v>1055</v>
      </c>
      <c r="C368" s="83">
        <v>61349</v>
      </c>
      <c r="D368" s="83">
        <v>57229</v>
      </c>
      <c r="E368" s="83">
        <v>51890</v>
      </c>
      <c r="F368">
        <v>7.19</v>
      </c>
      <c r="G368">
        <v>18.22</v>
      </c>
      <c r="H368" s="83">
        <v>532765</v>
      </c>
      <c r="I368" s="83">
        <v>515247</v>
      </c>
      <c r="J368">
        <v>3.39</v>
      </c>
      <c r="K368" t="s">
        <v>627</v>
      </c>
    </row>
    <row r="369" spans="1:11" customFormat="1" hidden="1">
      <c r="A369">
        <v>4430</v>
      </c>
      <c r="B369" t="s">
        <v>1045</v>
      </c>
      <c r="C369" s="83">
        <v>137043</v>
      </c>
      <c r="D369" s="83">
        <v>128982</v>
      </c>
      <c r="E369" s="83">
        <v>138342</v>
      </c>
      <c r="F369">
        <v>6.24</v>
      </c>
      <c r="G369">
        <v>-0.93</v>
      </c>
      <c r="H369" s="83">
        <v>1452787</v>
      </c>
      <c r="I369" s="83">
        <v>1576461</v>
      </c>
      <c r="J369">
        <v>-7.84</v>
      </c>
      <c r="K369" t="s">
        <v>627</v>
      </c>
    </row>
    <row r="370" spans="1:11" customFormat="1" hidden="1">
      <c r="A370">
        <v>4429</v>
      </c>
      <c r="B370" t="s">
        <v>421</v>
      </c>
      <c r="C370" s="83">
        <v>77156</v>
      </c>
      <c r="D370" s="83">
        <v>64076</v>
      </c>
      <c r="E370" s="83">
        <v>111882</v>
      </c>
      <c r="F370">
        <v>20.41</v>
      </c>
      <c r="G370">
        <v>-31.03</v>
      </c>
      <c r="H370" s="83">
        <v>743880</v>
      </c>
      <c r="I370" s="83">
        <v>857739</v>
      </c>
      <c r="J370">
        <v>-13.27</v>
      </c>
      <c r="K370" t="s">
        <v>627</v>
      </c>
    </row>
    <row r="371" spans="1:11" customFormat="1" hidden="1">
      <c r="A371">
        <v>2066</v>
      </c>
      <c r="B371" t="s">
        <v>318</v>
      </c>
      <c r="C371" s="83">
        <v>111559</v>
      </c>
      <c r="D371" s="83">
        <v>100130</v>
      </c>
      <c r="E371" s="83">
        <v>103399</v>
      </c>
      <c r="F371">
        <v>11.41</v>
      </c>
      <c r="G371">
        <v>7.89</v>
      </c>
      <c r="H371" s="83">
        <v>975463</v>
      </c>
      <c r="I371" s="83">
        <v>944536</v>
      </c>
      <c r="J371">
        <v>3.27</v>
      </c>
      <c r="K371" t="s">
        <v>627</v>
      </c>
    </row>
    <row r="372" spans="1:11" customFormat="1" hidden="1">
      <c r="A372">
        <v>4419</v>
      </c>
      <c r="B372" t="s">
        <v>637</v>
      </c>
      <c r="C372" s="83">
        <v>3967</v>
      </c>
      <c r="D372" s="83">
        <v>5626</v>
      </c>
      <c r="E372" s="83">
        <v>8738</v>
      </c>
      <c r="F372">
        <v>-29.48</v>
      </c>
      <c r="G372">
        <v>-54.6</v>
      </c>
      <c r="H372" s="83">
        <v>56464</v>
      </c>
      <c r="I372" s="83">
        <v>105587</v>
      </c>
      <c r="J372">
        <v>-46.52</v>
      </c>
      <c r="K372" t="s">
        <v>638</v>
      </c>
    </row>
    <row r="373" spans="1:11" customFormat="1" hidden="1">
      <c r="A373">
        <v>4417</v>
      </c>
      <c r="B373" t="s">
        <v>636</v>
      </c>
      <c r="C373" s="83">
        <v>232108</v>
      </c>
      <c r="D373" s="83">
        <v>260138</v>
      </c>
      <c r="E373" s="83">
        <v>312651</v>
      </c>
      <c r="F373">
        <v>-10.77</v>
      </c>
      <c r="G373">
        <v>-25.76</v>
      </c>
      <c r="H373" s="83">
        <v>2230454</v>
      </c>
      <c r="I373" s="83">
        <v>2079714</v>
      </c>
      <c r="J373">
        <v>7.24</v>
      </c>
      <c r="K373" t="s">
        <v>627</v>
      </c>
    </row>
    <row r="374" spans="1:11" customFormat="1" hidden="1">
      <c r="A374">
        <v>4416</v>
      </c>
      <c r="B374" t="s">
        <v>420</v>
      </c>
      <c r="C374" s="83">
        <v>8280</v>
      </c>
      <c r="D374" s="83">
        <v>8255</v>
      </c>
      <c r="E374" s="83">
        <v>217982</v>
      </c>
      <c r="F374">
        <v>0.3</v>
      </c>
      <c r="G374">
        <v>-96.2</v>
      </c>
      <c r="H374" s="83">
        <v>1721241</v>
      </c>
      <c r="I374" s="83">
        <v>2977289</v>
      </c>
      <c r="J374">
        <v>-42.18</v>
      </c>
      <c r="K374" t="s">
        <v>1000</v>
      </c>
    </row>
    <row r="375" spans="1:11" customFormat="1" hidden="1">
      <c r="A375">
        <v>8932</v>
      </c>
      <c r="B375" t="s">
        <v>1058</v>
      </c>
      <c r="C375" s="83">
        <v>91346</v>
      </c>
      <c r="D375" s="83">
        <v>86425</v>
      </c>
      <c r="E375" s="83">
        <v>83999</v>
      </c>
      <c r="F375">
        <v>5.69</v>
      </c>
      <c r="G375">
        <v>8.74</v>
      </c>
      <c r="H375" s="83">
        <v>956620</v>
      </c>
      <c r="I375" s="83">
        <v>931038</v>
      </c>
      <c r="J375">
        <v>2.74</v>
      </c>
      <c r="K375" t="s">
        <v>627</v>
      </c>
    </row>
    <row r="376" spans="1:11" customFormat="1" hidden="1">
      <c r="A376">
        <v>5403</v>
      </c>
      <c r="B376" t="s">
        <v>963</v>
      </c>
      <c r="C376" s="83">
        <v>106731</v>
      </c>
      <c r="D376" s="83">
        <v>102992</v>
      </c>
      <c r="E376" s="83">
        <v>101190</v>
      </c>
      <c r="F376">
        <v>3.63</v>
      </c>
      <c r="G376">
        <v>5.47</v>
      </c>
      <c r="H376" s="83">
        <v>937312</v>
      </c>
      <c r="I376" s="83">
        <v>914550</v>
      </c>
      <c r="J376">
        <v>2.48</v>
      </c>
      <c r="K376" t="s">
        <v>627</v>
      </c>
    </row>
    <row r="377" spans="1:11" customFormat="1" hidden="1">
      <c r="A377">
        <v>4406</v>
      </c>
      <c r="B377" t="s">
        <v>633</v>
      </c>
      <c r="C377" s="83">
        <v>50696</v>
      </c>
      <c r="D377" s="83">
        <v>67161</v>
      </c>
      <c r="E377" s="83">
        <v>74358</v>
      </c>
      <c r="F377">
        <v>-24.51</v>
      </c>
      <c r="G377">
        <v>-31.82</v>
      </c>
      <c r="H377" s="83">
        <v>574765</v>
      </c>
      <c r="I377" s="83">
        <v>621236</v>
      </c>
      <c r="J377">
        <v>-7.48</v>
      </c>
      <c r="K377" t="s">
        <v>627</v>
      </c>
    </row>
    <row r="378" spans="1:11" customFormat="1" hidden="1">
      <c r="A378">
        <v>4402</v>
      </c>
      <c r="B378" t="s">
        <v>419</v>
      </c>
      <c r="C378" s="83">
        <v>67893</v>
      </c>
      <c r="D378" s="83">
        <v>50780</v>
      </c>
      <c r="E378" s="83">
        <v>70968</v>
      </c>
      <c r="F378">
        <v>33.700000000000003</v>
      </c>
      <c r="G378">
        <v>-4.33</v>
      </c>
      <c r="H378" s="83">
        <v>738745</v>
      </c>
      <c r="I378" s="83">
        <v>1013062</v>
      </c>
      <c r="J378">
        <v>-27.07</v>
      </c>
      <c r="K378" t="s">
        <v>627</v>
      </c>
    </row>
    <row r="379" spans="1:11" customFormat="1" hidden="1">
      <c r="A379">
        <v>6263</v>
      </c>
      <c r="B379" t="s">
        <v>858</v>
      </c>
      <c r="C379" s="83">
        <v>108421</v>
      </c>
      <c r="D379" s="83">
        <v>93420</v>
      </c>
      <c r="E379" s="83">
        <v>108152</v>
      </c>
      <c r="F379">
        <v>16.05</v>
      </c>
      <c r="G379">
        <v>0.24</v>
      </c>
      <c r="H379" s="83">
        <v>945715</v>
      </c>
      <c r="I379" s="83">
        <v>924999</v>
      </c>
      <c r="J379">
        <v>2.23</v>
      </c>
      <c r="K379" t="s">
        <v>627</v>
      </c>
    </row>
    <row r="380" spans="1:11" customFormat="1" hidden="1">
      <c r="A380">
        <v>4305</v>
      </c>
      <c r="B380" t="s">
        <v>631</v>
      </c>
      <c r="C380" s="83">
        <v>105545</v>
      </c>
      <c r="D380" s="83">
        <v>92847</v>
      </c>
      <c r="E380" s="83">
        <v>103057</v>
      </c>
      <c r="F380">
        <v>13.67</v>
      </c>
      <c r="G380" s="82">
        <v>2.41</v>
      </c>
      <c r="H380" s="83">
        <v>924431</v>
      </c>
      <c r="I380" s="83">
        <v>1064447</v>
      </c>
      <c r="J380" s="82">
        <v>-13.15</v>
      </c>
      <c r="K380" t="s">
        <v>627</v>
      </c>
    </row>
    <row r="381" spans="1:11" customFormat="1" hidden="1">
      <c r="A381">
        <v>4304</v>
      </c>
      <c r="B381" t="s">
        <v>418</v>
      </c>
      <c r="C381" s="83">
        <v>32617</v>
      </c>
      <c r="D381" s="83">
        <v>32268</v>
      </c>
      <c r="E381" s="83">
        <v>44765</v>
      </c>
      <c r="F381">
        <v>1.08</v>
      </c>
      <c r="G381">
        <v>-27.13</v>
      </c>
      <c r="H381" s="83">
        <v>305165</v>
      </c>
      <c r="I381" s="83">
        <v>433384</v>
      </c>
      <c r="J381">
        <v>-29.58</v>
      </c>
      <c r="K381" t="s">
        <v>627</v>
      </c>
    </row>
    <row r="382" spans="1:11" customFormat="1" hidden="1">
      <c r="A382">
        <v>4207</v>
      </c>
      <c r="B382" t="s">
        <v>629</v>
      </c>
      <c r="C382" s="83">
        <v>254555</v>
      </c>
      <c r="D382" s="83">
        <v>261856</v>
      </c>
      <c r="E382" s="83">
        <v>279376</v>
      </c>
      <c r="F382">
        <v>-2.78</v>
      </c>
      <c r="G382">
        <v>-8.8800000000000008</v>
      </c>
      <c r="H382" s="83">
        <v>2449079</v>
      </c>
      <c r="I382" s="83">
        <v>2575295</v>
      </c>
      <c r="J382">
        <v>-4.9000000000000004</v>
      </c>
      <c r="K382" t="s">
        <v>627</v>
      </c>
    </row>
    <row r="383" spans="1:11" customFormat="1" hidden="1">
      <c r="A383">
        <v>8358</v>
      </c>
      <c r="B383" t="s">
        <v>941</v>
      </c>
      <c r="C383" s="83">
        <v>408630</v>
      </c>
      <c r="D383" s="83">
        <v>334416</v>
      </c>
      <c r="E383" s="83">
        <v>357043</v>
      </c>
      <c r="F383">
        <v>22.19</v>
      </c>
      <c r="G383">
        <v>14.44</v>
      </c>
      <c r="H383" s="83">
        <v>3154248</v>
      </c>
      <c r="I383" s="83">
        <v>3091458</v>
      </c>
      <c r="J383">
        <v>2.0299999999999998</v>
      </c>
      <c r="K383" t="s">
        <v>627</v>
      </c>
    </row>
    <row r="384" spans="1:11" customFormat="1" hidden="1">
      <c r="A384">
        <v>3118</v>
      </c>
      <c r="B384" t="s">
        <v>675</v>
      </c>
      <c r="C384" s="83">
        <v>48615</v>
      </c>
      <c r="D384" s="83">
        <v>41637</v>
      </c>
      <c r="E384" s="83">
        <v>42793</v>
      </c>
      <c r="F384">
        <v>16.75</v>
      </c>
      <c r="G384">
        <v>13.6</v>
      </c>
      <c r="H384" s="83">
        <v>381419</v>
      </c>
      <c r="I384" s="83">
        <v>374294</v>
      </c>
      <c r="J384">
        <v>1.9</v>
      </c>
      <c r="K384" t="s">
        <v>627</v>
      </c>
    </row>
    <row r="385" spans="1:11" customFormat="1" hidden="1">
      <c r="A385">
        <v>4510</v>
      </c>
      <c r="B385" t="s">
        <v>650</v>
      </c>
      <c r="C385" s="83">
        <v>169331</v>
      </c>
      <c r="D385" s="83">
        <v>162535</v>
      </c>
      <c r="E385" s="83">
        <v>162269</v>
      </c>
      <c r="F385">
        <v>4.18</v>
      </c>
      <c r="G385">
        <v>4.3499999999999996</v>
      </c>
      <c r="H385" s="83">
        <v>1578895</v>
      </c>
      <c r="I385" s="83">
        <v>1549554</v>
      </c>
      <c r="J385">
        <v>1.89</v>
      </c>
      <c r="K385" t="s">
        <v>627</v>
      </c>
    </row>
    <row r="386" spans="1:11" customFormat="1" hidden="1">
      <c r="A386">
        <v>4188</v>
      </c>
      <c r="B386" t="s">
        <v>704</v>
      </c>
      <c r="C386" s="83">
        <v>0</v>
      </c>
      <c r="D386" s="83">
        <v>0</v>
      </c>
      <c r="E386" s="83">
        <v>0</v>
      </c>
      <c r="H386" s="83">
        <v>0</v>
      </c>
      <c r="I386" s="83">
        <v>0</v>
      </c>
      <c r="K386" t="s">
        <v>705</v>
      </c>
    </row>
    <row r="387" spans="1:11" customFormat="1" hidden="1">
      <c r="A387">
        <v>8928</v>
      </c>
      <c r="B387" t="s">
        <v>571</v>
      </c>
      <c r="C387" s="83">
        <v>199498</v>
      </c>
      <c r="D387" s="83">
        <v>126010</v>
      </c>
      <c r="E387" s="83">
        <v>86843</v>
      </c>
      <c r="F387" s="82">
        <v>58.31</v>
      </c>
      <c r="G387">
        <v>129.72</v>
      </c>
      <c r="H387" s="83">
        <v>1367059</v>
      </c>
      <c r="I387" s="83">
        <v>1342083</v>
      </c>
      <c r="J387">
        <v>1.86</v>
      </c>
      <c r="K387" t="s">
        <v>1057</v>
      </c>
    </row>
    <row r="388" spans="1:11" customFormat="1" hidden="1">
      <c r="A388">
        <v>6229</v>
      </c>
      <c r="B388" t="s">
        <v>518</v>
      </c>
      <c r="C388" s="83">
        <v>107137</v>
      </c>
      <c r="D388" s="83">
        <v>95592</v>
      </c>
      <c r="E388" s="83">
        <v>97112</v>
      </c>
      <c r="F388">
        <v>12.07</v>
      </c>
      <c r="G388">
        <v>10.32</v>
      </c>
      <c r="H388" s="83">
        <v>660320</v>
      </c>
      <c r="I388" s="83">
        <v>649311</v>
      </c>
      <c r="J388">
        <v>1.69</v>
      </c>
      <c r="K388" t="s">
        <v>627</v>
      </c>
    </row>
    <row r="389" spans="1:11" customFormat="1" hidden="1">
      <c r="A389">
        <v>4174</v>
      </c>
      <c r="B389" t="s">
        <v>415</v>
      </c>
      <c r="C389" s="83">
        <v>0</v>
      </c>
      <c r="D389" s="83">
        <v>0</v>
      </c>
      <c r="E389" s="83">
        <v>0</v>
      </c>
      <c r="H389" s="83">
        <v>0</v>
      </c>
      <c r="I389" s="83">
        <v>0</v>
      </c>
      <c r="K389" t="s">
        <v>701</v>
      </c>
    </row>
    <row r="390" spans="1:11" customFormat="1" hidden="1">
      <c r="A390">
        <v>4173</v>
      </c>
      <c r="B390" t="s">
        <v>414</v>
      </c>
      <c r="C390" s="83">
        <v>97559</v>
      </c>
      <c r="D390" s="83">
        <v>117403</v>
      </c>
      <c r="E390" s="83">
        <v>108960</v>
      </c>
      <c r="F390">
        <v>-16.899999999999999</v>
      </c>
      <c r="G390">
        <v>-10.46</v>
      </c>
      <c r="H390" s="83">
        <v>996557</v>
      </c>
      <c r="I390" s="83">
        <v>1011271</v>
      </c>
      <c r="J390">
        <v>-1.45</v>
      </c>
      <c r="K390" t="s">
        <v>627</v>
      </c>
    </row>
    <row r="391" spans="1:11" customFormat="1" hidden="1">
      <c r="A391">
        <v>4171</v>
      </c>
      <c r="B391" t="s">
        <v>700</v>
      </c>
      <c r="C391" s="83">
        <v>11871</v>
      </c>
      <c r="D391" s="83">
        <v>11330</v>
      </c>
      <c r="E391" s="83">
        <v>12245</v>
      </c>
      <c r="F391">
        <v>4.7699999999999996</v>
      </c>
      <c r="G391">
        <v>-3.05</v>
      </c>
      <c r="H391" s="83">
        <v>112522</v>
      </c>
      <c r="I391" s="83">
        <v>106721</v>
      </c>
      <c r="J391">
        <v>5.43</v>
      </c>
      <c r="K391" t="s">
        <v>627</v>
      </c>
    </row>
    <row r="392" spans="1:11" customFormat="1" hidden="1">
      <c r="A392">
        <v>4168</v>
      </c>
      <c r="B392" t="s">
        <v>413</v>
      </c>
      <c r="C392" s="83">
        <v>0</v>
      </c>
      <c r="D392" s="83">
        <v>0</v>
      </c>
      <c r="E392" s="83">
        <v>32</v>
      </c>
      <c r="G392">
        <v>-100</v>
      </c>
      <c r="H392" s="83">
        <v>5565</v>
      </c>
      <c r="I392" s="83">
        <v>471</v>
      </c>
      <c r="J392" s="113">
        <v>1081.52</v>
      </c>
      <c r="K392" t="s">
        <v>699</v>
      </c>
    </row>
    <row r="393" spans="1:11" customFormat="1" hidden="1">
      <c r="A393">
        <v>8076</v>
      </c>
      <c r="B393" t="s">
        <v>799</v>
      </c>
      <c r="C393" s="83">
        <v>289366</v>
      </c>
      <c r="D393" s="83">
        <v>258130</v>
      </c>
      <c r="E393" s="83">
        <v>272051</v>
      </c>
      <c r="F393">
        <v>12.1</v>
      </c>
      <c r="G393">
        <v>6.36</v>
      </c>
      <c r="H393" s="83">
        <v>2008460</v>
      </c>
      <c r="I393" s="83">
        <v>1975806</v>
      </c>
      <c r="J393">
        <v>1.65</v>
      </c>
      <c r="K393" t="s">
        <v>627</v>
      </c>
    </row>
    <row r="394" spans="1:11" customFormat="1" hidden="1">
      <c r="A394">
        <v>4163</v>
      </c>
      <c r="B394" t="s">
        <v>697</v>
      </c>
      <c r="C394" s="83">
        <v>139724</v>
      </c>
      <c r="D394" s="83">
        <v>146591</v>
      </c>
      <c r="E394" s="83">
        <v>175388</v>
      </c>
      <c r="F394">
        <v>-4.68</v>
      </c>
      <c r="G394">
        <v>-20.329999999999998</v>
      </c>
      <c r="H394" s="83">
        <v>1406162</v>
      </c>
      <c r="I394" s="83">
        <v>1359755</v>
      </c>
      <c r="J394">
        <v>3.41</v>
      </c>
      <c r="K394" t="s">
        <v>627</v>
      </c>
    </row>
    <row r="395" spans="1:11" customFormat="1" hidden="1">
      <c r="A395">
        <v>4162</v>
      </c>
      <c r="B395" t="s">
        <v>411</v>
      </c>
      <c r="C395" s="83">
        <v>558</v>
      </c>
      <c r="D395" s="83">
        <v>649</v>
      </c>
      <c r="E395" s="83">
        <v>212064</v>
      </c>
      <c r="F395">
        <v>-14.02</v>
      </c>
      <c r="G395">
        <v>-99.73</v>
      </c>
      <c r="H395" s="83">
        <v>505769</v>
      </c>
      <c r="I395" s="83">
        <v>223308</v>
      </c>
      <c r="J395">
        <v>126.48</v>
      </c>
      <c r="K395" t="s">
        <v>696</v>
      </c>
    </row>
    <row r="396" spans="1:11" customFormat="1" hidden="1">
      <c r="A396">
        <v>4161</v>
      </c>
      <c r="B396" t="s">
        <v>695</v>
      </c>
      <c r="C396" s="83">
        <v>36341</v>
      </c>
      <c r="D396" s="83">
        <v>31054</v>
      </c>
      <c r="E396" s="83">
        <v>39040</v>
      </c>
      <c r="F396">
        <v>17.02</v>
      </c>
      <c r="G396">
        <v>-6.91</v>
      </c>
      <c r="H396" s="83">
        <v>333700</v>
      </c>
      <c r="I396" s="83">
        <v>286243</v>
      </c>
      <c r="J396">
        <v>16.57</v>
      </c>
      <c r="K396" t="s">
        <v>627</v>
      </c>
    </row>
    <row r="397" spans="1:11" customFormat="1" hidden="1">
      <c r="A397">
        <v>8289</v>
      </c>
      <c r="B397" t="s">
        <v>939</v>
      </c>
      <c r="C397" s="83">
        <v>139983</v>
      </c>
      <c r="D397" s="83">
        <v>127168</v>
      </c>
      <c r="E397" s="83">
        <v>137156</v>
      </c>
      <c r="F397">
        <v>10.07</v>
      </c>
      <c r="G397">
        <v>2.06</v>
      </c>
      <c r="H397" s="83">
        <v>1212909</v>
      </c>
      <c r="I397" s="83">
        <v>1200290</v>
      </c>
      <c r="J397">
        <v>1.05</v>
      </c>
      <c r="K397" t="s">
        <v>627</v>
      </c>
    </row>
    <row r="398" spans="1:11" customFormat="1" hidden="1">
      <c r="A398">
        <v>6144</v>
      </c>
      <c r="B398" t="s">
        <v>1071</v>
      </c>
      <c r="C398" s="83">
        <v>69205</v>
      </c>
      <c r="D398" s="83">
        <v>40539</v>
      </c>
      <c r="E398" s="83">
        <v>66512</v>
      </c>
      <c r="F398" s="82">
        <v>70.709999999999994</v>
      </c>
      <c r="G398">
        <v>4.04</v>
      </c>
      <c r="H398" s="83">
        <v>583080</v>
      </c>
      <c r="I398" s="83">
        <v>579571</v>
      </c>
      <c r="J398">
        <v>0.6</v>
      </c>
      <c r="K398" t="s">
        <v>627</v>
      </c>
    </row>
    <row r="399" spans="1:11" customFormat="1" hidden="1">
      <c r="A399">
        <v>4152</v>
      </c>
      <c r="B399" t="s">
        <v>409</v>
      </c>
      <c r="C399" s="83">
        <v>3708</v>
      </c>
      <c r="D399" s="83">
        <v>2929</v>
      </c>
      <c r="E399" s="83">
        <v>3952</v>
      </c>
      <c r="F399">
        <v>26.59</v>
      </c>
      <c r="G399">
        <v>-6.17</v>
      </c>
      <c r="H399" s="83">
        <v>48362</v>
      </c>
      <c r="I399" s="83">
        <v>85187</v>
      </c>
      <c r="J399">
        <v>-43.22</v>
      </c>
      <c r="K399" t="s">
        <v>627</v>
      </c>
    </row>
    <row r="400" spans="1:11" customFormat="1" hidden="1">
      <c r="A400">
        <v>3587</v>
      </c>
      <c r="B400" t="s">
        <v>978</v>
      </c>
      <c r="C400" s="83">
        <v>113365</v>
      </c>
      <c r="D400" s="83">
        <v>100002</v>
      </c>
      <c r="E400" s="83">
        <v>94198</v>
      </c>
      <c r="F400">
        <v>13.36</v>
      </c>
      <c r="G400">
        <v>20.34</v>
      </c>
      <c r="H400" s="83">
        <v>790563</v>
      </c>
      <c r="I400" s="83">
        <v>786693</v>
      </c>
      <c r="J400">
        <v>0.49</v>
      </c>
      <c r="K400" t="s">
        <v>627</v>
      </c>
    </row>
    <row r="401" spans="1:11" customFormat="1" hidden="1">
      <c r="A401">
        <v>4131</v>
      </c>
      <c r="B401" t="s">
        <v>689</v>
      </c>
      <c r="C401" s="83">
        <v>518</v>
      </c>
      <c r="D401" s="83">
        <v>1498</v>
      </c>
      <c r="E401" s="83">
        <v>1708</v>
      </c>
      <c r="F401">
        <v>-65.42</v>
      </c>
      <c r="G401">
        <v>-69.67</v>
      </c>
      <c r="H401" s="83">
        <v>16732</v>
      </c>
      <c r="I401" s="83">
        <v>17500</v>
      </c>
      <c r="J401">
        <v>-4.38</v>
      </c>
      <c r="K401" t="s">
        <v>690</v>
      </c>
    </row>
    <row r="402" spans="1:11" customFormat="1" hidden="1">
      <c r="A402">
        <v>4130</v>
      </c>
      <c r="B402" t="s">
        <v>408</v>
      </c>
      <c r="C402" s="83">
        <v>40536</v>
      </c>
      <c r="D402" s="83">
        <v>39201</v>
      </c>
      <c r="E402" s="83">
        <v>40731</v>
      </c>
      <c r="F402">
        <v>3.4</v>
      </c>
      <c r="G402">
        <v>-0.47</v>
      </c>
      <c r="H402" s="83">
        <v>349763</v>
      </c>
      <c r="I402" s="83">
        <v>370845</v>
      </c>
      <c r="J402">
        <v>-5.68</v>
      </c>
      <c r="K402" t="s">
        <v>627</v>
      </c>
    </row>
    <row r="403" spans="1:11" customFormat="1" hidden="1">
      <c r="A403">
        <v>8383</v>
      </c>
      <c r="B403" t="s">
        <v>555</v>
      </c>
      <c r="C403" s="83">
        <v>310455</v>
      </c>
      <c r="D403" s="83">
        <v>255078</v>
      </c>
      <c r="E403" s="83">
        <v>287521</v>
      </c>
      <c r="F403">
        <v>21.7</v>
      </c>
      <c r="G403">
        <v>7.97</v>
      </c>
      <c r="H403" s="83">
        <v>2227398</v>
      </c>
      <c r="I403" s="83">
        <v>2221935</v>
      </c>
      <c r="J403">
        <v>0.24</v>
      </c>
      <c r="K403" t="s">
        <v>627</v>
      </c>
    </row>
    <row r="404" spans="1:11" customFormat="1" hidden="1">
      <c r="A404">
        <v>3236</v>
      </c>
      <c r="B404" t="s">
        <v>347</v>
      </c>
      <c r="C404" s="83">
        <v>178070</v>
      </c>
      <c r="D404" s="83">
        <v>160408</v>
      </c>
      <c r="E404" s="83">
        <v>156189</v>
      </c>
      <c r="F404">
        <v>11.01</v>
      </c>
      <c r="G404">
        <v>14</v>
      </c>
      <c r="H404" s="83">
        <v>1378105</v>
      </c>
      <c r="I404" s="83">
        <v>1376351</v>
      </c>
      <c r="J404">
        <v>0.12</v>
      </c>
      <c r="K404" t="s">
        <v>627</v>
      </c>
    </row>
    <row r="405" spans="1:11" customFormat="1" hidden="1">
      <c r="A405">
        <v>4127</v>
      </c>
      <c r="B405" t="s">
        <v>686</v>
      </c>
      <c r="C405" s="83">
        <v>64038</v>
      </c>
      <c r="D405" s="83">
        <v>63270</v>
      </c>
      <c r="E405" s="83">
        <v>77655</v>
      </c>
      <c r="F405">
        <v>1.21</v>
      </c>
      <c r="G405">
        <v>-17.53</v>
      </c>
      <c r="H405" s="83">
        <v>653550</v>
      </c>
      <c r="I405" s="83">
        <v>630775</v>
      </c>
      <c r="J405">
        <v>3.61</v>
      </c>
      <c r="K405" t="s">
        <v>627</v>
      </c>
    </row>
    <row r="406" spans="1:11" customFormat="1" hidden="1">
      <c r="A406">
        <v>5439</v>
      </c>
      <c r="B406" t="s">
        <v>473</v>
      </c>
      <c r="C406" s="83">
        <v>170363</v>
      </c>
      <c r="D406" s="83">
        <v>149872</v>
      </c>
      <c r="E406" s="83">
        <v>158599</v>
      </c>
      <c r="F406">
        <v>13.67</v>
      </c>
      <c r="G406">
        <v>7.41</v>
      </c>
      <c r="H406" s="83">
        <v>1379778</v>
      </c>
      <c r="I406" s="83">
        <v>1379272</v>
      </c>
      <c r="J406">
        <v>0.03</v>
      </c>
      <c r="K406" t="s">
        <v>627</v>
      </c>
    </row>
    <row r="407" spans="1:11" customFormat="1" hidden="1">
      <c r="A407">
        <v>6103</v>
      </c>
      <c r="B407" t="s">
        <v>751</v>
      </c>
      <c r="C407" s="83">
        <v>52576</v>
      </c>
      <c r="D407" s="83">
        <v>52624</v>
      </c>
      <c r="E407" s="83">
        <v>2658</v>
      </c>
      <c r="F407">
        <v>-0.09</v>
      </c>
      <c r="G407" s="113">
        <v>1878.02</v>
      </c>
      <c r="H407" s="83">
        <v>288285</v>
      </c>
      <c r="I407" s="83">
        <v>33474</v>
      </c>
      <c r="J407">
        <v>761.22</v>
      </c>
      <c r="K407" t="s">
        <v>752</v>
      </c>
    </row>
    <row r="408" spans="1:11" customFormat="1" hidden="1">
      <c r="A408">
        <v>4121</v>
      </c>
      <c r="B408" t="s">
        <v>684</v>
      </c>
      <c r="C408" s="83">
        <v>274153</v>
      </c>
      <c r="D408" s="83">
        <v>293619</v>
      </c>
      <c r="E408" s="83">
        <v>298459</v>
      </c>
      <c r="F408">
        <v>-6.62</v>
      </c>
      <c r="G408">
        <v>-8.14</v>
      </c>
      <c r="H408" s="83">
        <v>2553741</v>
      </c>
      <c r="I408" s="83">
        <v>2450967</v>
      </c>
      <c r="J408">
        <v>4.1900000000000004</v>
      </c>
      <c r="K408" t="s">
        <v>627</v>
      </c>
    </row>
    <row r="409" spans="1:11" customFormat="1" hidden="1">
      <c r="A409">
        <v>4120</v>
      </c>
      <c r="B409" t="s">
        <v>406</v>
      </c>
      <c r="C409" s="83">
        <v>431527</v>
      </c>
      <c r="D409" s="83">
        <v>396400</v>
      </c>
      <c r="E409" s="83">
        <v>446106</v>
      </c>
      <c r="F409">
        <v>8.86</v>
      </c>
      <c r="G409">
        <v>-3.26</v>
      </c>
      <c r="H409" s="83">
        <v>3721161</v>
      </c>
      <c r="I409" s="83">
        <v>3726458</v>
      </c>
      <c r="J409">
        <v>-0.14000000000000001</v>
      </c>
      <c r="K409" t="s">
        <v>627</v>
      </c>
    </row>
    <row r="410" spans="1:11" customFormat="1" hidden="1">
      <c r="A410">
        <v>8086</v>
      </c>
      <c r="B410" t="s">
        <v>763</v>
      </c>
      <c r="C410" s="83">
        <v>405819</v>
      </c>
      <c r="D410" s="83">
        <v>406343</v>
      </c>
      <c r="E410" s="83">
        <v>304540</v>
      </c>
      <c r="F410">
        <v>-0.12</v>
      </c>
      <c r="G410">
        <v>33.25</v>
      </c>
      <c r="H410" s="83">
        <v>3311812</v>
      </c>
      <c r="I410" s="83">
        <v>1634520</v>
      </c>
      <c r="J410">
        <v>102.61</v>
      </c>
      <c r="K410" t="s">
        <v>764</v>
      </c>
    </row>
    <row r="411" spans="1:11" customFormat="1" hidden="1">
      <c r="A411">
        <v>4113</v>
      </c>
      <c r="B411" t="s">
        <v>405</v>
      </c>
      <c r="C411" s="83">
        <v>13528</v>
      </c>
      <c r="D411" s="83">
        <v>250</v>
      </c>
      <c r="E411" s="83">
        <v>189546</v>
      </c>
      <c r="F411" s="113">
        <v>5311.2</v>
      </c>
      <c r="G411">
        <v>-92.86</v>
      </c>
      <c r="H411" s="83">
        <v>317226</v>
      </c>
      <c r="I411" s="83">
        <v>2155955</v>
      </c>
      <c r="J411">
        <v>-85.28</v>
      </c>
      <c r="K411" t="s">
        <v>999</v>
      </c>
    </row>
    <row r="412" spans="1:11" customFormat="1" hidden="1">
      <c r="A412">
        <v>4111</v>
      </c>
      <c r="B412" t="s">
        <v>682</v>
      </c>
      <c r="C412" s="83">
        <v>78417</v>
      </c>
      <c r="D412" s="83">
        <v>79986</v>
      </c>
      <c r="E412" s="83">
        <v>79726</v>
      </c>
      <c r="F412">
        <v>-1.96</v>
      </c>
      <c r="G412">
        <v>-1.64</v>
      </c>
      <c r="H412" s="83">
        <v>700307</v>
      </c>
      <c r="I412" s="83">
        <v>734642</v>
      </c>
      <c r="J412">
        <v>-4.67</v>
      </c>
      <c r="K412" t="s">
        <v>627</v>
      </c>
    </row>
    <row r="413" spans="1:11" customFormat="1" hidden="1">
      <c r="A413">
        <v>4739</v>
      </c>
      <c r="B413" t="s">
        <v>669</v>
      </c>
      <c r="C413" s="83">
        <v>330605</v>
      </c>
      <c r="D413" s="83">
        <v>331006</v>
      </c>
      <c r="E413" s="83">
        <v>305921</v>
      </c>
      <c r="F413">
        <v>-0.12</v>
      </c>
      <c r="G413">
        <v>8.06</v>
      </c>
      <c r="H413" s="83">
        <v>2891667</v>
      </c>
      <c r="I413" s="83">
        <v>2153154</v>
      </c>
      <c r="J413">
        <v>34.29</v>
      </c>
      <c r="K413" t="s">
        <v>627</v>
      </c>
    </row>
    <row r="414" spans="1:11" customFormat="1" hidden="1">
      <c r="A414">
        <v>3558</v>
      </c>
      <c r="B414" t="s">
        <v>387</v>
      </c>
      <c r="C414" s="83">
        <v>702221</v>
      </c>
      <c r="D414" s="83">
        <v>703948</v>
      </c>
      <c r="E414" s="83">
        <v>548543</v>
      </c>
      <c r="F414">
        <v>-0.24</v>
      </c>
      <c r="G414">
        <v>28.01</v>
      </c>
      <c r="H414" s="83">
        <v>5806795</v>
      </c>
      <c r="I414" s="83">
        <v>4510279</v>
      </c>
      <c r="J414">
        <v>28.74</v>
      </c>
      <c r="K414" t="s">
        <v>627</v>
      </c>
    </row>
    <row r="415" spans="1:11" customFormat="1" hidden="1">
      <c r="A415">
        <v>5364</v>
      </c>
      <c r="B415" t="s">
        <v>467</v>
      </c>
      <c r="C415" s="83">
        <v>37610</v>
      </c>
      <c r="D415" s="83">
        <v>37715</v>
      </c>
      <c r="E415" s="83">
        <v>12451</v>
      </c>
      <c r="F415">
        <v>-0.27</v>
      </c>
      <c r="G415">
        <v>202.06</v>
      </c>
      <c r="H415" s="83">
        <v>316941</v>
      </c>
      <c r="I415" s="83">
        <v>80014</v>
      </c>
      <c r="J415">
        <v>296.10000000000002</v>
      </c>
      <c r="K415" t="s">
        <v>1077</v>
      </c>
    </row>
    <row r="416" spans="1:11" customFormat="1" hidden="1">
      <c r="A416">
        <v>6217</v>
      </c>
      <c r="B416" t="s">
        <v>920</v>
      </c>
      <c r="C416" s="83">
        <v>155316</v>
      </c>
      <c r="D416" s="83">
        <v>156323</v>
      </c>
      <c r="E416" s="83">
        <v>135538</v>
      </c>
      <c r="F416">
        <v>-0.64</v>
      </c>
      <c r="G416">
        <v>14.59</v>
      </c>
      <c r="H416" s="83">
        <v>1250965</v>
      </c>
      <c r="I416" s="83">
        <v>1018494</v>
      </c>
      <c r="J416">
        <v>22.82</v>
      </c>
      <c r="K416" t="s">
        <v>627</v>
      </c>
    </row>
    <row r="417" spans="1:11" customFormat="1" hidden="1">
      <c r="A417">
        <v>3707</v>
      </c>
      <c r="B417" t="s">
        <v>404</v>
      </c>
      <c r="C417" s="83">
        <v>265507</v>
      </c>
      <c r="D417" s="83">
        <v>244767</v>
      </c>
      <c r="E417" s="83">
        <v>0</v>
      </c>
      <c r="F417">
        <v>8.4700000000000006</v>
      </c>
      <c r="H417" s="83">
        <v>2405019</v>
      </c>
      <c r="I417" s="83">
        <v>0</v>
      </c>
      <c r="K417" t="s">
        <v>743</v>
      </c>
    </row>
    <row r="418" spans="1:11" customFormat="1" hidden="1">
      <c r="A418">
        <v>3693</v>
      </c>
      <c r="B418" t="s">
        <v>403</v>
      </c>
      <c r="C418" s="83">
        <v>298870</v>
      </c>
      <c r="D418" s="83">
        <v>434291</v>
      </c>
      <c r="E418" s="83">
        <v>474372</v>
      </c>
      <c r="F418">
        <v>-31.18</v>
      </c>
      <c r="G418">
        <v>-36.99</v>
      </c>
      <c r="H418" s="83">
        <v>4160873</v>
      </c>
      <c r="I418" s="83">
        <v>2762345</v>
      </c>
      <c r="J418">
        <v>50.62</v>
      </c>
      <c r="K418" t="s">
        <v>779</v>
      </c>
    </row>
    <row r="419" spans="1:11" customFormat="1" hidden="1">
      <c r="A419">
        <v>3499</v>
      </c>
      <c r="B419" t="s">
        <v>376</v>
      </c>
      <c r="C419" s="83">
        <v>66336</v>
      </c>
      <c r="D419" s="83">
        <v>66816</v>
      </c>
      <c r="E419" s="83">
        <v>49939</v>
      </c>
      <c r="F419">
        <v>-0.71</v>
      </c>
      <c r="G419">
        <v>32.83</v>
      </c>
      <c r="H419" s="83">
        <v>474499</v>
      </c>
      <c r="I419" s="83">
        <v>316967</v>
      </c>
      <c r="J419">
        <v>49.69</v>
      </c>
      <c r="K419" t="s">
        <v>627</v>
      </c>
    </row>
    <row r="420" spans="1:11" customFormat="1" hidden="1">
      <c r="A420">
        <v>3689</v>
      </c>
      <c r="B420" t="s">
        <v>890</v>
      </c>
      <c r="C420" s="83">
        <v>441408</v>
      </c>
      <c r="D420" s="83">
        <v>417538</v>
      </c>
      <c r="E420" s="83">
        <v>448943</v>
      </c>
      <c r="F420">
        <v>5.71</v>
      </c>
      <c r="G420">
        <v>-1.67</v>
      </c>
      <c r="H420" s="83">
        <v>3358136</v>
      </c>
      <c r="I420" s="83">
        <v>3946723</v>
      </c>
      <c r="J420">
        <v>-14.91</v>
      </c>
      <c r="K420" t="s">
        <v>627</v>
      </c>
    </row>
    <row r="421" spans="1:11" customFormat="1" hidden="1">
      <c r="A421">
        <v>4114</v>
      </c>
      <c r="B421" t="s">
        <v>683</v>
      </c>
      <c r="C421" s="83">
        <v>153044</v>
      </c>
      <c r="D421" s="83">
        <v>154580</v>
      </c>
      <c r="E421" s="83">
        <v>133193</v>
      </c>
      <c r="F421">
        <v>-0.99</v>
      </c>
      <c r="G421">
        <v>14.9</v>
      </c>
      <c r="H421" s="83">
        <v>1308939</v>
      </c>
      <c r="I421" s="83">
        <v>1093312</v>
      </c>
      <c r="J421">
        <v>19.72</v>
      </c>
      <c r="K421" t="s">
        <v>627</v>
      </c>
    </row>
    <row r="422" spans="1:11" customFormat="1" hidden="1">
      <c r="A422">
        <v>4965</v>
      </c>
      <c r="B422" t="s">
        <v>440</v>
      </c>
      <c r="C422" s="83">
        <v>119767</v>
      </c>
      <c r="D422" s="83">
        <v>121023</v>
      </c>
      <c r="E422" s="83">
        <v>82558</v>
      </c>
      <c r="F422">
        <v>-1.03</v>
      </c>
      <c r="G422">
        <v>45.07</v>
      </c>
      <c r="H422" s="83">
        <v>971282</v>
      </c>
      <c r="I422" s="83">
        <v>710779</v>
      </c>
      <c r="J422">
        <v>36.65</v>
      </c>
      <c r="K422" t="s">
        <v>627</v>
      </c>
    </row>
    <row r="423" spans="1:11" customFormat="1" hidden="1">
      <c r="A423">
        <v>4972</v>
      </c>
      <c r="B423" t="s">
        <v>822</v>
      </c>
      <c r="C423" s="83">
        <v>122344</v>
      </c>
      <c r="D423" s="83">
        <v>123687</v>
      </c>
      <c r="E423" s="83">
        <v>106567</v>
      </c>
      <c r="F423">
        <v>-1.08</v>
      </c>
      <c r="G423">
        <v>14.8</v>
      </c>
      <c r="H423" s="83">
        <v>992801</v>
      </c>
      <c r="I423" s="83">
        <v>862665</v>
      </c>
      <c r="J423">
        <v>15.08</v>
      </c>
      <c r="K423" t="s">
        <v>627</v>
      </c>
    </row>
    <row r="424" spans="1:11" customFormat="1" hidden="1">
      <c r="A424">
        <v>3675</v>
      </c>
      <c r="B424" t="s">
        <v>741</v>
      </c>
      <c r="C424" s="83">
        <v>98584</v>
      </c>
      <c r="D424" s="83">
        <v>84384</v>
      </c>
      <c r="E424" s="83">
        <v>92358</v>
      </c>
      <c r="F424">
        <v>16.82</v>
      </c>
      <c r="G424">
        <v>6.74</v>
      </c>
      <c r="H424" s="83">
        <v>830820</v>
      </c>
      <c r="I424" s="83">
        <v>848764</v>
      </c>
      <c r="J424">
        <v>-2.11</v>
      </c>
      <c r="K424" t="s">
        <v>627</v>
      </c>
    </row>
    <row r="425" spans="1:11" customFormat="1" hidden="1">
      <c r="A425">
        <v>5493</v>
      </c>
      <c r="B425" t="s">
        <v>987</v>
      </c>
      <c r="C425" s="83">
        <v>151564</v>
      </c>
      <c r="D425" s="83">
        <v>153406</v>
      </c>
      <c r="E425" s="83">
        <v>149887</v>
      </c>
      <c r="F425">
        <v>-1.2</v>
      </c>
      <c r="G425">
        <v>1.1100000000000001</v>
      </c>
      <c r="H425" s="83">
        <v>1769990</v>
      </c>
      <c r="I425" s="83">
        <v>1348279</v>
      </c>
      <c r="J425">
        <v>31.27</v>
      </c>
      <c r="K425" t="s">
        <v>627</v>
      </c>
    </row>
    <row r="426" spans="1:11" customFormat="1" hidden="1">
      <c r="A426">
        <v>3666</v>
      </c>
      <c r="B426" t="s">
        <v>400</v>
      </c>
      <c r="C426" s="83">
        <v>101575</v>
      </c>
      <c r="D426" s="83">
        <v>88172</v>
      </c>
      <c r="E426" s="83">
        <v>149731</v>
      </c>
      <c r="F426">
        <v>15.2</v>
      </c>
      <c r="G426">
        <v>-32.159999999999997</v>
      </c>
      <c r="H426" s="83">
        <v>793429</v>
      </c>
      <c r="I426" s="83">
        <v>1208083</v>
      </c>
      <c r="J426">
        <v>-34.32</v>
      </c>
      <c r="K426" t="s">
        <v>627</v>
      </c>
    </row>
    <row r="427" spans="1:11" customFormat="1" hidden="1">
      <c r="A427">
        <v>3663</v>
      </c>
      <c r="B427" t="s">
        <v>981</v>
      </c>
      <c r="C427" s="83">
        <v>215941</v>
      </c>
      <c r="D427" s="83">
        <v>178728</v>
      </c>
      <c r="E427" s="83">
        <v>337654</v>
      </c>
      <c r="F427">
        <v>20.82</v>
      </c>
      <c r="G427">
        <v>-36.04</v>
      </c>
      <c r="H427" s="83">
        <v>2039766</v>
      </c>
      <c r="I427" s="83">
        <v>2491959</v>
      </c>
      <c r="J427">
        <v>-18.14</v>
      </c>
      <c r="K427" t="s">
        <v>627</v>
      </c>
    </row>
    <row r="428" spans="1:11" customFormat="1" hidden="1">
      <c r="A428">
        <v>3658</v>
      </c>
      <c r="B428" t="s">
        <v>399</v>
      </c>
      <c r="C428" s="83">
        <v>398512</v>
      </c>
      <c r="D428" s="83">
        <v>474156</v>
      </c>
      <c r="E428" s="83">
        <v>451956</v>
      </c>
      <c r="F428">
        <v>-15.95</v>
      </c>
      <c r="G428">
        <v>-11.82</v>
      </c>
      <c r="H428" s="83">
        <v>4926873</v>
      </c>
      <c r="I428" s="83">
        <v>4514238</v>
      </c>
      <c r="J428">
        <v>9.14</v>
      </c>
      <c r="K428" t="s">
        <v>627</v>
      </c>
    </row>
    <row r="429" spans="1:11" customFormat="1" hidden="1">
      <c r="A429">
        <v>6220</v>
      </c>
      <c r="B429" t="s">
        <v>514</v>
      </c>
      <c r="C429" s="83">
        <v>841144</v>
      </c>
      <c r="D429" s="83">
        <v>851622</v>
      </c>
      <c r="E429" s="83">
        <v>783600</v>
      </c>
      <c r="F429">
        <v>-1.23</v>
      </c>
      <c r="G429">
        <v>7.34</v>
      </c>
      <c r="H429" s="83">
        <v>5002289</v>
      </c>
      <c r="I429" s="83">
        <v>4723700</v>
      </c>
      <c r="J429">
        <v>5.89</v>
      </c>
      <c r="K429" t="s">
        <v>627</v>
      </c>
    </row>
    <row r="430" spans="1:11" customFormat="1" hidden="1">
      <c r="A430">
        <v>3642</v>
      </c>
      <c r="B430" t="s">
        <v>980</v>
      </c>
      <c r="C430" s="83">
        <v>81211</v>
      </c>
      <c r="D430" s="83">
        <v>55699</v>
      </c>
      <c r="E430" s="83">
        <v>86720</v>
      </c>
      <c r="F430">
        <v>45.8</v>
      </c>
      <c r="G430">
        <v>-6.35</v>
      </c>
      <c r="H430" s="83">
        <v>608594</v>
      </c>
      <c r="I430" s="83">
        <v>565084</v>
      </c>
      <c r="J430">
        <v>7.69</v>
      </c>
      <c r="K430" t="s">
        <v>627</v>
      </c>
    </row>
    <row r="431" spans="1:11" customFormat="1" hidden="1">
      <c r="A431">
        <v>3631</v>
      </c>
      <c r="B431" t="s">
        <v>397</v>
      </c>
      <c r="C431" s="83">
        <v>48390</v>
      </c>
      <c r="D431" s="83">
        <v>47703</v>
      </c>
      <c r="E431" s="83">
        <v>76201</v>
      </c>
      <c r="F431">
        <v>1.44</v>
      </c>
      <c r="G431">
        <v>-36.49</v>
      </c>
      <c r="H431" s="83">
        <v>508203</v>
      </c>
      <c r="I431" s="83">
        <v>858128</v>
      </c>
      <c r="J431">
        <v>-40.770000000000003</v>
      </c>
      <c r="K431" t="s">
        <v>627</v>
      </c>
    </row>
    <row r="432" spans="1:11" customFormat="1" hidden="1">
      <c r="A432">
        <v>3630</v>
      </c>
      <c r="B432" t="s">
        <v>396</v>
      </c>
      <c r="C432" s="83">
        <v>98940</v>
      </c>
      <c r="D432" s="83">
        <v>85533</v>
      </c>
      <c r="E432" s="83">
        <v>85792</v>
      </c>
      <c r="F432">
        <v>15.67</v>
      </c>
      <c r="G432">
        <v>15.32</v>
      </c>
      <c r="H432" s="83">
        <v>715904</v>
      </c>
      <c r="I432" s="83">
        <v>1396463</v>
      </c>
      <c r="J432">
        <v>-48.73</v>
      </c>
      <c r="K432" t="s">
        <v>627</v>
      </c>
    </row>
    <row r="433" spans="1:11" customFormat="1" hidden="1">
      <c r="A433">
        <v>3629</v>
      </c>
      <c r="B433" t="s">
        <v>815</v>
      </c>
      <c r="C433" s="83">
        <v>7029</v>
      </c>
      <c r="D433" s="83">
        <v>7309</v>
      </c>
      <c r="E433" s="83">
        <v>11826</v>
      </c>
      <c r="F433">
        <v>-3.83</v>
      </c>
      <c r="G433">
        <v>-40.56</v>
      </c>
      <c r="H433" s="83">
        <v>80201</v>
      </c>
      <c r="I433" s="83">
        <v>145426</v>
      </c>
      <c r="J433">
        <v>-44.85</v>
      </c>
      <c r="K433" t="s">
        <v>627</v>
      </c>
    </row>
    <row r="434" spans="1:11" customFormat="1" hidden="1">
      <c r="A434">
        <v>3628</v>
      </c>
      <c r="B434" t="s">
        <v>979</v>
      </c>
      <c r="C434" s="83">
        <v>195021</v>
      </c>
      <c r="D434" s="83">
        <v>170519</v>
      </c>
      <c r="E434" s="83">
        <v>271573</v>
      </c>
      <c r="F434">
        <v>14.36</v>
      </c>
      <c r="G434">
        <v>-28.18</v>
      </c>
      <c r="H434" s="83">
        <v>2037994</v>
      </c>
      <c r="I434" s="83">
        <v>2076332</v>
      </c>
      <c r="J434">
        <v>-1.84</v>
      </c>
      <c r="K434" t="s">
        <v>627</v>
      </c>
    </row>
    <row r="435" spans="1:11" customFormat="1" hidden="1">
      <c r="A435">
        <v>6180</v>
      </c>
      <c r="B435" t="s">
        <v>1073</v>
      </c>
      <c r="C435" s="83">
        <v>860373</v>
      </c>
      <c r="D435" s="83">
        <v>873795</v>
      </c>
      <c r="E435" s="83">
        <v>682622</v>
      </c>
      <c r="F435">
        <v>-1.53</v>
      </c>
      <c r="G435">
        <v>26.03</v>
      </c>
      <c r="H435" s="83">
        <v>7162327</v>
      </c>
      <c r="I435" s="83">
        <v>6811545</v>
      </c>
      <c r="J435">
        <v>5.14</v>
      </c>
      <c r="K435" t="s">
        <v>627</v>
      </c>
    </row>
    <row r="436" spans="1:11" customFormat="1" hidden="1">
      <c r="A436">
        <v>2641</v>
      </c>
      <c r="B436" t="s">
        <v>1023</v>
      </c>
      <c r="C436" s="83">
        <v>57994</v>
      </c>
      <c r="D436" s="83">
        <v>59101</v>
      </c>
      <c r="E436" s="83">
        <v>50542</v>
      </c>
      <c r="F436">
        <v>-1.87</v>
      </c>
      <c r="G436">
        <v>14.74</v>
      </c>
      <c r="H436" s="83">
        <v>550131</v>
      </c>
      <c r="I436" s="83">
        <v>504784</v>
      </c>
      <c r="J436">
        <v>8.98</v>
      </c>
      <c r="K436" t="s">
        <v>627</v>
      </c>
    </row>
    <row r="437" spans="1:11" customFormat="1" hidden="1">
      <c r="A437">
        <v>3623</v>
      </c>
      <c r="B437" t="s">
        <v>393</v>
      </c>
      <c r="C437" s="83">
        <v>85087</v>
      </c>
      <c r="D437" s="83">
        <v>85575</v>
      </c>
      <c r="E437" s="83">
        <v>100224</v>
      </c>
      <c r="F437">
        <v>-0.56999999999999995</v>
      </c>
      <c r="G437">
        <v>-15.1</v>
      </c>
      <c r="H437" s="83">
        <v>746758</v>
      </c>
      <c r="I437" s="83">
        <v>899653</v>
      </c>
      <c r="J437">
        <v>-16.989999999999998</v>
      </c>
      <c r="K437" t="s">
        <v>627</v>
      </c>
    </row>
    <row r="438" spans="1:11" customFormat="1" hidden="1">
      <c r="A438">
        <v>3615</v>
      </c>
      <c r="B438" t="s">
        <v>814</v>
      </c>
      <c r="C438" s="83">
        <v>64370</v>
      </c>
      <c r="D438" s="83">
        <v>67067</v>
      </c>
      <c r="E438" s="83">
        <v>66355</v>
      </c>
      <c r="F438">
        <v>-4.0199999999999996</v>
      </c>
      <c r="G438">
        <v>-2.99</v>
      </c>
      <c r="H438" s="83">
        <v>540962</v>
      </c>
      <c r="I438" s="83">
        <v>485574</v>
      </c>
      <c r="J438">
        <v>11.4</v>
      </c>
      <c r="K438" t="s">
        <v>627</v>
      </c>
    </row>
    <row r="439" spans="1:11" customFormat="1" hidden="1">
      <c r="A439">
        <v>4167</v>
      </c>
      <c r="B439" t="s">
        <v>412</v>
      </c>
      <c r="C439" s="83">
        <v>102947</v>
      </c>
      <c r="D439" s="83">
        <v>104921</v>
      </c>
      <c r="E439" s="83">
        <v>64747</v>
      </c>
      <c r="F439">
        <v>-1.88</v>
      </c>
      <c r="G439">
        <v>58.99</v>
      </c>
      <c r="H439" s="83">
        <v>867737</v>
      </c>
      <c r="I439" s="83">
        <v>691883</v>
      </c>
      <c r="J439">
        <v>25.41</v>
      </c>
      <c r="K439" t="s">
        <v>698</v>
      </c>
    </row>
    <row r="440" spans="1:11" customFormat="1" hidden="1">
      <c r="A440">
        <v>3609</v>
      </c>
      <c r="B440" t="s">
        <v>391</v>
      </c>
      <c r="C440" s="83">
        <v>60076</v>
      </c>
      <c r="D440" s="83">
        <v>70335</v>
      </c>
      <c r="E440" s="83">
        <v>76444</v>
      </c>
      <c r="F440">
        <v>-14.58</v>
      </c>
      <c r="G440">
        <v>-21.41</v>
      </c>
      <c r="H440" s="83">
        <v>609130</v>
      </c>
      <c r="I440" s="83">
        <v>627784</v>
      </c>
      <c r="J440">
        <v>-2.97</v>
      </c>
      <c r="K440" t="s">
        <v>627</v>
      </c>
    </row>
    <row r="441" spans="1:11" customFormat="1" hidden="1">
      <c r="A441">
        <v>3594</v>
      </c>
      <c r="B441" t="s">
        <v>390</v>
      </c>
      <c r="C441" s="83">
        <v>120697</v>
      </c>
      <c r="D441" s="83">
        <v>94374</v>
      </c>
      <c r="E441" s="83">
        <v>113370</v>
      </c>
      <c r="F441">
        <v>27.89</v>
      </c>
      <c r="G441">
        <v>6.46</v>
      </c>
      <c r="H441" s="83">
        <v>948725</v>
      </c>
      <c r="I441" s="83">
        <v>1026633</v>
      </c>
      <c r="J441">
        <v>-7.58</v>
      </c>
      <c r="K441" t="s">
        <v>627</v>
      </c>
    </row>
    <row r="442" spans="1:11" customFormat="1" hidden="1">
      <c r="A442">
        <v>3088</v>
      </c>
      <c r="B442" t="s">
        <v>328</v>
      </c>
      <c r="C442" s="83">
        <v>423189</v>
      </c>
      <c r="D442" s="83">
        <v>431335</v>
      </c>
      <c r="E442" s="83">
        <v>411247</v>
      </c>
      <c r="F442">
        <v>-1.88</v>
      </c>
      <c r="G442">
        <v>2.9</v>
      </c>
      <c r="H442" s="83">
        <v>3402852</v>
      </c>
      <c r="I442" s="83">
        <v>3303223</v>
      </c>
      <c r="J442">
        <v>3.01</v>
      </c>
      <c r="K442" t="s">
        <v>627</v>
      </c>
    </row>
    <row r="443" spans="1:11" customFormat="1" hidden="1">
      <c r="A443">
        <v>3581</v>
      </c>
      <c r="B443" t="s">
        <v>740</v>
      </c>
      <c r="C443" s="83">
        <v>54168</v>
      </c>
      <c r="D443" s="83">
        <v>48925</v>
      </c>
      <c r="E443" s="83">
        <v>69871</v>
      </c>
      <c r="F443">
        <v>10.71</v>
      </c>
      <c r="G443">
        <v>-22.47</v>
      </c>
      <c r="H443" s="83">
        <v>637577</v>
      </c>
      <c r="I443" s="83">
        <v>640333</v>
      </c>
      <c r="J443">
        <v>-0.43</v>
      </c>
      <c r="K443" t="s">
        <v>627</v>
      </c>
    </row>
    <row r="444" spans="1:11" customFormat="1" hidden="1">
      <c r="A444">
        <v>3580</v>
      </c>
      <c r="B444" t="s">
        <v>977</v>
      </c>
      <c r="C444" s="83">
        <v>48242</v>
      </c>
      <c r="D444" s="83">
        <v>40373</v>
      </c>
      <c r="E444" s="83">
        <v>65172</v>
      </c>
      <c r="F444">
        <v>19.489999999999998</v>
      </c>
      <c r="G444">
        <v>-25.97</v>
      </c>
      <c r="H444" s="83">
        <v>348710</v>
      </c>
      <c r="I444" s="83">
        <v>365679</v>
      </c>
      <c r="J444">
        <v>-4.6399999999999997</v>
      </c>
      <c r="K444" t="s">
        <v>627</v>
      </c>
    </row>
    <row r="445" spans="1:11" customFormat="1" hidden="1">
      <c r="A445">
        <v>3577</v>
      </c>
      <c r="B445" t="s">
        <v>778</v>
      </c>
      <c r="C445" s="83">
        <v>61664</v>
      </c>
      <c r="D445" s="83">
        <v>55052</v>
      </c>
      <c r="E445" s="83">
        <v>70628</v>
      </c>
      <c r="F445">
        <v>12.01</v>
      </c>
      <c r="G445">
        <v>-12.69</v>
      </c>
      <c r="H445" s="83">
        <v>535628</v>
      </c>
      <c r="I445" s="83">
        <v>577716</v>
      </c>
      <c r="J445">
        <v>-7.28</v>
      </c>
      <c r="K445" t="s">
        <v>627</v>
      </c>
    </row>
    <row r="446" spans="1:11" customFormat="1" hidden="1">
      <c r="A446">
        <v>3169</v>
      </c>
      <c r="B446" t="s">
        <v>727</v>
      </c>
      <c r="C446" s="83">
        <v>55751</v>
      </c>
      <c r="D446" s="83">
        <v>56895</v>
      </c>
      <c r="E446" s="83">
        <v>41328</v>
      </c>
      <c r="F446">
        <v>-2.0099999999999998</v>
      </c>
      <c r="G446">
        <v>34.89</v>
      </c>
      <c r="H446" s="83">
        <v>433018</v>
      </c>
      <c r="I446" s="83">
        <v>337756</v>
      </c>
      <c r="J446">
        <v>28.2</v>
      </c>
      <c r="K446" t="s">
        <v>627</v>
      </c>
    </row>
    <row r="447" spans="1:11" customFormat="1" hidden="1">
      <c r="A447">
        <v>3567</v>
      </c>
      <c r="B447" t="s">
        <v>739</v>
      </c>
      <c r="C447" s="83">
        <v>27145</v>
      </c>
      <c r="D447" s="83">
        <v>27178</v>
      </c>
      <c r="E447" s="83">
        <v>35502</v>
      </c>
      <c r="F447">
        <v>-0.12</v>
      </c>
      <c r="G447">
        <v>-23.53</v>
      </c>
      <c r="H447" s="83">
        <v>248211</v>
      </c>
      <c r="I447" s="83">
        <v>294346</v>
      </c>
      <c r="J447">
        <v>-15.67</v>
      </c>
      <c r="K447" t="s">
        <v>627</v>
      </c>
    </row>
    <row r="448" spans="1:11" customFormat="1" hidden="1">
      <c r="A448">
        <v>5289</v>
      </c>
      <c r="B448" t="s">
        <v>780</v>
      </c>
      <c r="C448" s="83">
        <v>403075</v>
      </c>
      <c r="D448" s="83">
        <v>411680</v>
      </c>
      <c r="E448" s="83">
        <v>307410</v>
      </c>
      <c r="F448">
        <v>-2.09</v>
      </c>
      <c r="G448">
        <v>31.11</v>
      </c>
      <c r="H448" s="83">
        <v>3226838</v>
      </c>
      <c r="I448" s="83">
        <v>2514182</v>
      </c>
      <c r="J448">
        <v>28.34</v>
      </c>
      <c r="K448" t="s">
        <v>627</v>
      </c>
    </row>
    <row r="449" spans="1:11" customFormat="1" hidden="1">
      <c r="A449">
        <v>3563</v>
      </c>
      <c r="B449" t="s">
        <v>389</v>
      </c>
      <c r="C449" s="83">
        <v>46937</v>
      </c>
      <c r="D449" s="83">
        <v>56104</v>
      </c>
      <c r="E449" s="83">
        <v>62771</v>
      </c>
      <c r="F449">
        <v>-16.329999999999998</v>
      </c>
      <c r="G449">
        <v>-25.22</v>
      </c>
      <c r="H449" s="83">
        <v>486060</v>
      </c>
      <c r="I449" s="83">
        <v>526286</v>
      </c>
      <c r="J449">
        <v>-7.64</v>
      </c>
      <c r="K449" t="s">
        <v>627</v>
      </c>
    </row>
    <row r="450" spans="1:11" customFormat="1" hidden="1">
      <c r="A450">
        <v>3562</v>
      </c>
      <c r="B450" t="s">
        <v>388</v>
      </c>
      <c r="C450" s="83">
        <v>97694</v>
      </c>
      <c r="D450" s="83">
        <v>96092</v>
      </c>
      <c r="E450" s="83">
        <v>123313</v>
      </c>
      <c r="F450">
        <v>1.66</v>
      </c>
      <c r="G450">
        <v>-20.77</v>
      </c>
      <c r="H450" s="83">
        <v>734729</v>
      </c>
      <c r="I450" s="83">
        <v>1732736</v>
      </c>
      <c r="J450">
        <v>-57.59</v>
      </c>
      <c r="K450" t="s">
        <v>813</v>
      </c>
    </row>
    <row r="451" spans="1:11" customFormat="1" hidden="1">
      <c r="A451">
        <v>2235</v>
      </c>
      <c r="B451" t="s">
        <v>321</v>
      </c>
      <c r="C451" s="83">
        <v>73233</v>
      </c>
      <c r="D451" s="83">
        <v>75008</v>
      </c>
      <c r="E451" s="83">
        <v>73104</v>
      </c>
      <c r="F451">
        <v>-2.36</v>
      </c>
      <c r="G451">
        <v>0.17</v>
      </c>
      <c r="H451" s="83">
        <v>659077</v>
      </c>
      <c r="I451" s="83">
        <v>634487</v>
      </c>
      <c r="J451">
        <v>3.87</v>
      </c>
      <c r="K451" t="s">
        <v>627</v>
      </c>
    </row>
    <row r="452" spans="1:11" customFormat="1" hidden="1">
      <c r="A452">
        <v>3556</v>
      </c>
      <c r="B452" t="s">
        <v>386</v>
      </c>
      <c r="C452" s="83">
        <v>65508</v>
      </c>
      <c r="D452" s="83">
        <v>66233</v>
      </c>
      <c r="E452" s="83">
        <v>82782</v>
      </c>
      <c r="F452">
        <v>-1.0900000000000001</v>
      </c>
      <c r="G452">
        <v>-20.86</v>
      </c>
      <c r="H452" s="83">
        <v>734217</v>
      </c>
      <c r="I452" s="83">
        <v>782063</v>
      </c>
      <c r="J452">
        <v>-6.11</v>
      </c>
      <c r="K452" t="s">
        <v>627</v>
      </c>
    </row>
    <row r="453" spans="1:11" customFormat="1" hidden="1">
      <c r="A453">
        <v>3555</v>
      </c>
      <c r="B453" t="s">
        <v>737</v>
      </c>
      <c r="C453" s="83">
        <v>36290</v>
      </c>
      <c r="D453" s="83">
        <v>16096</v>
      </c>
      <c r="E453" s="83">
        <v>21230</v>
      </c>
      <c r="F453">
        <v>125.45</v>
      </c>
      <c r="G453">
        <v>70.930000000000007</v>
      </c>
      <c r="H453" s="83">
        <v>277529</v>
      </c>
      <c r="I453" s="83">
        <v>285636</v>
      </c>
      <c r="J453">
        <v>-2.83</v>
      </c>
      <c r="K453" t="s">
        <v>738</v>
      </c>
    </row>
    <row r="454" spans="1:11" customFormat="1" hidden="1">
      <c r="A454">
        <v>3553</v>
      </c>
      <c r="B454" t="s">
        <v>385</v>
      </c>
      <c r="C454" s="83">
        <v>190649</v>
      </c>
      <c r="D454" s="83">
        <v>186967</v>
      </c>
      <c r="E454" s="83">
        <v>288198</v>
      </c>
      <c r="F454">
        <v>1.96</v>
      </c>
      <c r="G454">
        <v>-33.840000000000003</v>
      </c>
      <c r="H454" s="83">
        <v>1892389</v>
      </c>
      <c r="I454" s="83">
        <v>1908210</v>
      </c>
      <c r="J454">
        <v>-0.82</v>
      </c>
      <c r="K454" t="s">
        <v>627</v>
      </c>
    </row>
    <row r="455" spans="1:11" customFormat="1" hidden="1">
      <c r="A455">
        <v>3611</v>
      </c>
      <c r="B455" t="s">
        <v>392</v>
      </c>
      <c r="C455" s="83">
        <v>206724</v>
      </c>
      <c r="D455" s="83">
        <v>212461</v>
      </c>
      <c r="E455" s="83">
        <v>199608</v>
      </c>
      <c r="F455">
        <v>-2.7</v>
      </c>
      <c r="G455">
        <v>3.56</v>
      </c>
      <c r="H455" s="83">
        <v>1978996</v>
      </c>
      <c r="I455" s="83">
        <v>1805636</v>
      </c>
      <c r="J455">
        <v>9.6</v>
      </c>
      <c r="K455" t="s">
        <v>627</v>
      </c>
    </row>
    <row r="456" spans="1:11" customFormat="1" hidden="1">
      <c r="A456">
        <v>3551</v>
      </c>
      <c r="B456" t="s">
        <v>384</v>
      </c>
      <c r="C456" s="83">
        <v>104792</v>
      </c>
      <c r="D456" s="83">
        <v>115536</v>
      </c>
      <c r="E456" s="83">
        <v>135011</v>
      </c>
      <c r="F456">
        <v>-9.2899999999999991</v>
      </c>
      <c r="G456">
        <v>-22.38</v>
      </c>
      <c r="H456" s="83">
        <v>1044500</v>
      </c>
      <c r="I456" s="83">
        <v>1150719</v>
      </c>
      <c r="J456">
        <v>-9.23</v>
      </c>
      <c r="K456" t="s">
        <v>627</v>
      </c>
    </row>
    <row r="457" spans="1:11" customFormat="1" hidden="1">
      <c r="A457">
        <v>3548</v>
      </c>
      <c r="B457" t="s">
        <v>383</v>
      </c>
      <c r="C457" s="83">
        <v>383533</v>
      </c>
      <c r="D457" s="83">
        <v>330801</v>
      </c>
      <c r="E457" s="83">
        <v>298690</v>
      </c>
      <c r="F457">
        <v>15.94</v>
      </c>
      <c r="G457">
        <v>28.4</v>
      </c>
      <c r="H457" s="83">
        <v>2660241</v>
      </c>
      <c r="I457" s="83">
        <v>2747064</v>
      </c>
      <c r="J457">
        <v>-3.16</v>
      </c>
      <c r="K457" t="s">
        <v>889</v>
      </c>
    </row>
    <row r="458" spans="1:11" customFormat="1" hidden="1">
      <c r="A458">
        <v>3546</v>
      </c>
      <c r="B458" t="s">
        <v>1065</v>
      </c>
      <c r="C458" s="83">
        <v>49028</v>
      </c>
      <c r="D458" s="83">
        <v>60208</v>
      </c>
      <c r="E458" s="83">
        <v>49973</v>
      </c>
      <c r="F458">
        <v>-18.559999999999999</v>
      </c>
      <c r="G458">
        <v>-1.89</v>
      </c>
      <c r="H458" s="83">
        <v>459691</v>
      </c>
      <c r="I458" s="83">
        <v>548592</v>
      </c>
      <c r="J458">
        <v>-16.2</v>
      </c>
      <c r="K458" t="s">
        <v>627</v>
      </c>
    </row>
    <row r="459" spans="1:11" customFormat="1" hidden="1">
      <c r="A459">
        <v>3541</v>
      </c>
      <c r="B459" t="s">
        <v>975</v>
      </c>
      <c r="C459" s="83">
        <v>140313</v>
      </c>
      <c r="D459" s="83">
        <v>106051</v>
      </c>
      <c r="E459" s="83">
        <v>138360</v>
      </c>
      <c r="F459">
        <v>32.299999999999997</v>
      </c>
      <c r="G459">
        <v>1.41</v>
      </c>
      <c r="H459" s="83">
        <v>1004477</v>
      </c>
      <c r="I459" s="83">
        <v>1200826</v>
      </c>
      <c r="J459">
        <v>-16.350000000000001</v>
      </c>
      <c r="K459" t="s">
        <v>976</v>
      </c>
    </row>
    <row r="460" spans="1:11" customFormat="1" hidden="1">
      <c r="A460">
        <v>3540</v>
      </c>
      <c r="B460" t="s">
        <v>777</v>
      </c>
      <c r="C460" s="83">
        <v>238686</v>
      </c>
      <c r="D460" s="83">
        <v>233291</v>
      </c>
      <c r="E460" s="83">
        <v>282261</v>
      </c>
      <c r="F460">
        <v>2.31</v>
      </c>
      <c r="G460">
        <v>-15.43</v>
      </c>
      <c r="H460" s="83">
        <v>1960399</v>
      </c>
      <c r="I460" s="83">
        <v>2390393</v>
      </c>
      <c r="J460">
        <v>-17.98</v>
      </c>
      <c r="K460" t="s">
        <v>627</v>
      </c>
    </row>
    <row r="461" spans="1:11" customFormat="1" hidden="1">
      <c r="A461">
        <v>3537</v>
      </c>
      <c r="B461" t="s">
        <v>382</v>
      </c>
      <c r="C461" s="83">
        <v>155754</v>
      </c>
      <c r="D461" s="83">
        <v>185393</v>
      </c>
      <c r="E461" s="83">
        <v>195968</v>
      </c>
      <c r="F461">
        <v>-15.98</v>
      </c>
      <c r="G461">
        <v>-20.52</v>
      </c>
      <c r="H461" s="83">
        <v>1449199</v>
      </c>
      <c r="I461" s="83">
        <v>1745292</v>
      </c>
      <c r="J461">
        <v>-16.96</v>
      </c>
      <c r="K461" t="s">
        <v>627</v>
      </c>
    </row>
    <row r="462" spans="1:11" customFormat="1" hidden="1">
      <c r="A462">
        <v>3531</v>
      </c>
      <c r="B462" t="s">
        <v>812</v>
      </c>
      <c r="C462" s="83">
        <v>144120</v>
      </c>
      <c r="D462" s="83">
        <v>159827</v>
      </c>
      <c r="E462" s="83">
        <v>205821</v>
      </c>
      <c r="F462">
        <v>-9.82</v>
      </c>
      <c r="G462">
        <v>-29.97</v>
      </c>
      <c r="H462" s="83">
        <v>1329191</v>
      </c>
      <c r="I462" s="83">
        <v>1516147</v>
      </c>
      <c r="J462">
        <v>-12.33</v>
      </c>
      <c r="K462" t="s">
        <v>627</v>
      </c>
    </row>
    <row r="463" spans="1:11" customFormat="1" hidden="1">
      <c r="A463">
        <v>3529</v>
      </c>
      <c r="B463" t="s">
        <v>381</v>
      </c>
      <c r="C463" s="83">
        <v>13300</v>
      </c>
      <c r="D463" s="83">
        <v>45204</v>
      </c>
      <c r="E463" s="83">
        <v>31546</v>
      </c>
      <c r="F463">
        <v>-70.569999999999993</v>
      </c>
      <c r="G463">
        <v>-57.83</v>
      </c>
      <c r="H463" s="83">
        <v>790742</v>
      </c>
      <c r="I463" s="83">
        <v>745818</v>
      </c>
      <c r="J463">
        <v>6.02</v>
      </c>
      <c r="K463" t="s">
        <v>736</v>
      </c>
    </row>
    <row r="464" spans="1:11" customFormat="1" hidden="1">
      <c r="A464">
        <v>3528</v>
      </c>
      <c r="B464" t="s">
        <v>944</v>
      </c>
      <c r="C464" s="83">
        <v>265816</v>
      </c>
      <c r="D464" s="83">
        <v>273039</v>
      </c>
      <c r="E464" s="83">
        <v>283092</v>
      </c>
      <c r="F464">
        <v>-2.64</v>
      </c>
      <c r="G464">
        <v>-6.1</v>
      </c>
      <c r="H464" s="83">
        <v>2511609</v>
      </c>
      <c r="I464" s="83">
        <v>2439675</v>
      </c>
      <c r="J464">
        <v>2.94</v>
      </c>
      <c r="K464" t="s">
        <v>627</v>
      </c>
    </row>
    <row r="465" spans="1:11" customFormat="1" hidden="1">
      <c r="A465">
        <v>3527</v>
      </c>
      <c r="B465" t="s">
        <v>380</v>
      </c>
      <c r="C465" s="83">
        <v>190833</v>
      </c>
      <c r="D465" s="83">
        <v>165138</v>
      </c>
      <c r="E465" s="83">
        <v>177386</v>
      </c>
      <c r="F465">
        <v>15.55</v>
      </c>
      <c r="G465">
        <v>7.58</v>
      </c>
      <c r="H465" s="83">
        <v>1506986</v>
      </c>
      <c r="I465" s="83">
        <v>1562146</v>
      </c>
      <c r="J465">
        <v>-3.53</v>
      </c>
      <c r="K465" t="s">
        <v>627</v>
      </c>
    </row>
    <row r="466" spans="1:11" customFormat="1" hidden="1">
      <c r="A466">
        <v>3526</v>
      </c>
      <c r="B466" t="s">
        <v>888</v>
      </c>
      <c r="C466" s="83">
        <v>181316</v>
      </c>
      <c r="D466" s="83">
        <v>144746</v>
      </c>
      <c r="E466" s="83">
        <v>155170</v>
      </c>
      <c r="F466">
        <v>25.26</v>
      </c>
      <c r="G466">
        <v>16.84</v>
      </c>
      <c r="H466" s="83">
        <v>1238404</v>
      </c>
      <c r="I466" s="83">
        <v>1259621</v>
      </c>
      <c r="J466">
        <v>-1.68</v>
      </c>
      <c r="K466" t="s">
        <v>627</v>
      </c>
    </row>
    <row r="467" spans="1:11" customFormat="1" hidden="1">
      <c r="A467">
        <v>3523</v>
      </c>
      <c r="B467" t="s">
        <v>810</v>
      </c>
      <c r="C467" s="83">
        <v>56472</v>
      </c>
      <c r="D467" s="83">
        <v>62510</v>
      </c>
      <c r="E467" s="83">
        <v>125888</v>
      </c>
      <c r="F467">
        <v>-9.65</v>
      </c>
      <c r="G467">
        <v>-55.14</v>
      </c>
      <c r="H467" s="83">
        <v>725352</v>
      </c>
      <c r="I467" s="83">
        <v>1162965</v>
      </c>
      <c r="J467">
        <v>-37.619999999999997</v>
      </c>
      <c r="K467" t="s">
        <v>811</v>
      </c>
    </row>
    <row r="468" spans="1:11" customFormat="1" hidden="1">
      <c r="A468">
        <v>3522</v>
      </c>
      <c r="B468" t="s">
        <v>379</v>
      </c>
      <c r="C468" s="83">
        <v>153649</v>
      </c>
      <c r="D468" s="83">
        <v>144071</v>
      </c>
      <c r="E468" s="83">
        <v>199760</v>
      </c>
      <c r="F468">
        <v>6.64</v>
      </c>
      <c r="G468">
        <v>-23.08</v>
      </c>
      <c r="H468" s="83">
        <v>1207342</v>
      </c>
      <c r="I468" s="83">
        <v>1748530</v>
      </c>
      <c r="J468">
        <v>-30.95</v>
      </c>
      <c r="K468" t="s">
        <v>627</v>
      </c>
    </row>
    <row r="469" spans="1:11" customFormat="1" hidden="1">
      <c r="A469">
        <v>1781</v>
      </c>
      <c r="B469" t="s">
        <v>671</v>
      </c>
      <c r="C469" s="83">
        <v>83333</v>
      </c>
      <c r="D469" s="83">
        <v>85860</v>
      </c>
      <c r="E469" s="83">
        <v>72445</v>
      </c>
      <c r="F469">
        <v>-2.94</v>
      </c>
      <c r="G469">
        <v>15.02</v>
      </c>
      <c r="H469" s="83">
        <v>568243</v>
      </c>
      <c r="I469" s="83">
        <v>478457</v>
      </c>
      <c r="J469">
        <v>18.760000000000002</v>
      </c>
      <c r="K469" t="s">
        <v>627</v>
      </c>
    </row>
    <row r="470" spans="1:11" customFormat="1" hidden="1">
      <c r="A470">
        <v>3520</v>
      </c>
      <c r="B470" t="s">
        <v>887</v>
      </c>
      <c r="C470" s="83">
        <v>49682</v>
      </c>
      <c r="D470" s="83">
        <v>43904</v>
      </c>
      <c r="E470" s="83">
        <v>78085</v>
      </c>
      <c r="F470">
        <v>13.16</v>
      </c>
      <c r="G470">
        <v>-36.369999999999997</v>
      </c>
      <c r="H470" s="83">
        <v>394955</v>
      </c>
      <c r="I470" s="83">
        <v>655066</v>
      </c>
      <c r="J470">
        <v>-39.700000000000003</v>
      </c>
      <c r="K470" t="s">
        <v>627</v>
      </c>
    </row>
    <row r="471" spans="1:11" customFormat="1" hidden="1">
      <c r="A471">
        <v>3516</v>
      </c>
      <c r="B471" t="s">
        <v>378</v>
      </c>
      <c r="C471" s="83">
        <v>67511</v>
      </c>
      <c r="D471" s="83">
        <v>48703</v>
      </c>
      <c r="E471" s="83">
        <v>53277</v>
      </c>
      <c r="F471">
        <v>38.61</v>
      </c>
      <c r="G471">
        <v>26.71</v>
      </c>
      <c r="H471" s="83">
        <v>544893</v>
      </c>
      <c r="I471" s="83">
        <v>593886</v>
      </c>
      <c r="J471">
        <v>-8.24</v>
      </c>
      <c r="K471" t="s">
        <v>627</v>
      </c>
    </row>
    <row r="472" spans="1:11" customFormat="1" hidden="1">
      <c r="A472">
        <v>5392</v>
      </c>
      <c r="B472" t="s">
        <v>826</v>
      </c>
      <c r="C472" s="83">
        <v>555344</v>
      </c>
      <c r="D472" s="83">
        <v>573741</v>
      </c>
      <c r="E472" s="83">
        <v>349538</v>
      </c>
      <c r="F472">
        <v>-3.2</v>
      </c>
      <c r="G472">
        <v>58.87</v>
      </c>
      <c r="H472" s="83">
        <v>4171319</v>
      </c>
      <c r="I472" s="83">
        <v>2657548</v>
      </c>
      <c r="J472">
        <v>56.96</v>
      </c>
      <c r="K472" t="s">
        <v>827</v>
      </c>
    </row>
    <row r="473" spans="1:11" customFormat="1" hidden="1">
      <c r="A473">
        <v>3680</v>
      </c>
      <c r="B473" t="s">
        <v>742</v>
      </c>
      <c r="C473" s="83">
        <v>172775</v>
      </c>
      <c r="D473" s="83">
        <v>178798</v>
      </c>
      <c r="E473" s="83">
        <v>158076</v>
      </c>
      <c r="F473">
        <v>-3.36</v>
      </c>
      <c r="G473">
        <v>9.2899999999999991</v>
      </c>
      <c r="H473" s="83">
        <v>1372247</v>
      </c>
      <c r="I473" s="83">
        <v>1362868</v>
      </c>
      <c r="J473">
        <v>0.68</v>
      </c>
      <c r="K473" t="s">
        <v>627</v>
      </c>
    </row>
    <row r="474" spans="1:11" customFormat="1" hidden="1">
      <c r="A474">
        <v>3508</v>
      </c>
      <c r="B474" t="s">
        <v>377</v>
      </c>
      <c r="C474" s="83">
        <v>295568</v>
      </c>
      <c r="D474" s="83">
        <v>269832</v>
      </c>
      <c r="E474" s="83">
        <v>208707</v>
      </c>
      <c r="F474">
        <v>9.5299999999999994</v>
      </c>
      <c r="G474">
        <v>41.61</v>
      </c>
      <c r="H474" s="83">
        <v>2481379</v>
      </c>
      <c r="I474" s="83">
        <v>2597616</v>
      </c>
      <c r="J474">
        <v>-4.47</v>
      </c>
      <c r="K474" t="s">
        <v>627</v>
      </c>
    </row>
    <row r="475" spans="1:11" customFormat="1" hidden="1">
      <c r="A475">
        <v>4128</v>
      </c>
      <c r="B475" t="s">
        <v>687</v>
      </c>
      <c r="C475" s="83">
        <v>123672</v>
      </c>
      <c r="D475" s="83">
        <v>128070</v>
      </c>
      <c r="E475" s="83">
        <v>113785</v>
      </c>
      <c r="F475">
        <v>-3.43</v>
      </c>
      <c r="G475">
        <v>8.68</v>
      </c>
      <c r="H475" s="83">
        <v>1114585</v>
      </c>
      <c r="I475" s="83">
        <v>999890</v>
      </c>
      <c r="J475">
        <v>11.47</v>
      </c>
      <c r="K475" t="s">
        <v>627</v>
      </c>
    </row>
    <row r="476" spans="1:11" customFormat="1" hidden="1">
      <c r="A476">
        <v>4129</v>
      </c>
      <c r="B476" t="s">
        <v>688</v>
      </c>
      <c r="C476" s="83">
        <v>101979</v>
      </c>
      <c r="D476" s="83">
        <v>105696</v>
      </c>
      <c r="E476" s="83">
        <v>97642</v>
      </c>
      <c r="F476">
        <v>-3.51</v>
      </c>
      <c r="G476">
        <v>4.4400000000000004</v>
      </c>
      <c r="H476" s="83">
        <v>1019476</v>
      </c>
      <c r="I476" s="83">
        <v>790472</v>
      </c>
      <c r="J476">
        <v>28.97</v>
      </c>
      <c r="K476" t="s">
        <v>627</v>
      </c>
    </row>
    <row r="477" spans="1:11" customFormat="1" hidden="1">
      <c r="A477">
        <v>3492</v>
      </c>
      <c r="B477" t="s">
        <v>883</v>
      </c>
      <c r="C477" s="83">
        <v>83941</v>
      </c>
      <c r="D477" s="83">
        <v>92364</v>
      </c>
      <c r="E477" s="83">
        <v>105569</v>
      </c>
      <c r="F477">
        <v>-9.11</v>
      </c>
      <c r="G477">
        <v>-20.48</v>
      </c>
      <c r="H477" s="83">
        <v>829633</v>
      </c>
      <c r="I477" s="83">
        <v>734198</v>
      </c>
      <c r="J477">
        <v>12.99</v>
      </c>
      <c r="K477" t="s">
        <v>627</v>
      </c>
    </row>
    <row r="478" spans="1:11" customFormat="1" hidden="1">
      <c r="A478">
        <v>5312</v>
      </c>
      <c r="B478" t="s">
        <v>461</v>
      </c>
      <c r="C478" s="83">
        <v>213729</v>
      </c>
      <c r="D478" s="83">
        <v>221644</v>
      </c>
      <c r="E478" s="83">
        <v>212514</v>
      </c>
      <c r="F478">
        <v>-3.57</v>
      </c>
      <c r="G478">
        <v>0.56999999999999995</v>
      </c>
      <c r="H478" s="83">
        <v>1916015</v>
      </c>
      <c r="I478" s="83">
        <v>1807410</v>
      </c>
      <c r="J478">
        <v>6</v>
      </c>
      <c r="K478" t="s">
        <v>627</v>
      </c>
    </row>
    <row r="479" spans="1:11" customFormat="1" hidden="1">
      <c r="A479">
        <v>3490</v>
      </c>
      <c r="B479" t="s">
        <v>375</v>
      </c>
      <c r="C479" s="83">
        <v>142307</v>
      </c>
      <c r="D479" s="83">
        <v>150034</v>
      </c>
      <c r="E479" s="83">
        <v>252834</v>
      </c>
      <c r="F479">
        <v>-5.15</v>
      </c>
      <c r="G479">
        <v>-43.71</v>
      </c>
      <c r="H479" s="83">
        <v>1827094</v>
      </c>
      <c r="I479" s="83">
        <v>1175313</v>
      </c>
      <c r="J479">
        <v>55.45</v>
      </c>
      <c r="K479" t="s">
        <v>809</v>
      </c>
    </row>
    <row r="480" spans="1:11" customFormat="1" hidden="1">
      <c r="A480">
        <v>3489</v>
      </c>
      <c r="B480" t="s">
        <v>374</v>
      </c>
      <c r="C480" s="83">
        <v>110191</v>
      </c>
      <c r="D480" s="83">
        <v>112538</v>
      </c>
      <c r="E480" s="83">
        <v>85496</v>
      </c>
      <c r="F480">
        <v>-2.08</v>
      </c>
      <c r="G480">
        <v>28.88</v>
      </c>
      <c r="H480" s="83">
        <v>526613</v>
      </c>
      <c r="I480" s="83">
        <v>584602</v>
      </c>
      <c r="J480">
        <v>-9.91</v>
      </c>
      <c r="K480" t="s">
        <v>627</v>
      </c>
    </row>
    <row r="481" spans="1:11" customFormat="1" hidden="1">
      <c r="A481">
        <v>3484</v>
      </c>
      <c r="B481" t="s">
        <v>373</v>
      </c>
      <c r="C481" s="83">
        <v>280309</v>
      </c>
      <c r="D481" s="83">
        <v>252541</v>
      </c>
      <c r="E481" s="83">
        <v>287283</v>
      </c>
      <c r="F481">
        <v>10.99</v>
      </c>
      <c r="G481">
        <v>-2.42</v>
      </c>
      <c r="H481" s="83">
        <v>2424825</v>
      </c>
      <c r="I481" s="83">
        <v>2339628</v>
      </c>
      <c r="J481">
        <v>3.64</v>
      </c>
      <c r="K481" t="s">
        <v>627</v>
      </c>
    </row>
    <row r="482" spans="1:11" customFormat="1" hidden="1">
      <c r="A482">
        <v>3483</v>
      </c>
      <c r="B482" t="s">
        <v>372</v>
      </c>
      <c r="C482" s="83">
        <v>315998</v>
      </c>
      <c r="D482" s="83">
        <v>226629</v>
      </c>
      <c r="E482" s="83">
        <v>301380</v>
      </c>
      <c r="F482">
        <v>39.43</v>
      </c>
      <c r="G482">
        <v>4.8499999999999996</v>
      </c>
      <c r="H482" s="83">
        <v>1882327</v>
      </c>
      <c r="I482" s="83">
        <v>2218826</v>
      </c>
      <c r="J482">
        <v>-15.16</v>
      </c>
      <c r="K482" t="s">
        <v>627</v>
      </c>
    </row>
    <row r="483" spans="1:11" customFormat="1" hidden="1">
      <c r="A483">
        <v>3285</v>
      </c>
      <c r="B483" t="s">
        <v>353</v>
      </c>
      <c r="C483" s="83">
        <v>144936</v>
      </c>
      <c r="D483" s="83">
        <v>150721</v>
      </c>
      <c r="E483" s="83">
        <v>115313</v>
      </c>
      <c r="F483">
        <v>-3.83</v>
      </c>
      <c r="G483">
        <v>25.68</v>
      </c>
      <c r="H483" s="83">
        <v>1105867</v>
      </c>
      <c r="I483" s="83">
        <v>907394</v>
      </c>
      <c r="J483">
        <v>21.87</v>
      </c>
      <c r="K483" t="s">
        <v>627</v>
      </c>
    </row>
    <row r="484" spans="1:11" customFormat="1" hidden="1">
      <c r="A484">
        <v>3466</v>
      </c>
      <c r="B484" t="s">
        <v>371</v>
      </c>
      <c r="C484" s="83">
        <v>119978</v>
      </c>
      <c r="D484" s="83">
        <v>132876</v>
      </c>
      <c r="E484" s="83">
        <v>142424</v>
      </c>
      <c r="F484">
        <v>-9.6999999999999993</v>
      </c>
      <c r="G484">
        <v>-15.75</v>
      </c>
      <c r="H484" s="83">
        <v>1221865</v>
      </c>
      <c r="I484" s="83">
        <v>1850148</v>
      </c>
      <c r="J484">
        <v>-33.950000000000003</v>
      </c>
      <c r="K484" t="s">
        <v>627</v>
      </c>
    </row>
    <row r="485" spans="1:11" customFormat="1" hidden="1">
      <c r="A485">
        <v>3465</v>
      </c>
      <c r="B485" t="s">
        <v>881</v>
      </c>
      <c r="C485" s="83">
        <v>7070</v>
      </c>
      <c r="D485" s="83">
        <v>15561</v>
      </c>
      <c r="E485" s="83">
        <v>34064</v>
      </c>
      <c r="F485">
        <v>-54.56</v>
      </c>
      <c r="G485">
        <v>-79.239999999999995</v>
      </c>
      <c r="H485" s="83">
        <v>135498</v>
      </c>
      <c r="I485" s="83">
        <v>327835</v>
      </c>
      <c r="J485">
        <v>-58.66</v>
      </c>
      <c r="K485" t="s">
        <v>882</v>
      </c>
    </row>
    <row r="486" spans="1:11" customFormat="1" hidden="1">
      <c r="A486">
        <v>3455</v>
      </c>
      <c r="B486" t="s">
        <v>370</v>
      </c>
      <c r="C486" s="83">
        <v>91024</v>
      </c>
      <c r="D486" s="83">
        <v>106090</v>
      </c>
      <c r="E486" s="83">
        <v>136645</v>
      </c>
      <c r="F486">
        <v>-14.2</v>
      </c>
      <c r="G486">
        <v>-33.380000000000003</v>
      </c>
      <c r="H486" s="83">
        <v>831621</v>
      </c>
      <c r="I486" s="83">
        <v>890114</v>
      </c>
      <c r="J486">
        <v>-6.57</v>
      </c>
      <c r="K486" t="s">
        <v>627</v>
      </c>
    </row>
    <row r="487" spans="1:11" customFormat="1" hidden="1">
      <c r="A487">
        <v>3452</v>
      </c>
      <c r="B487" t="s">
        <v>808</v>
      </c>
      <c r="C487" s="83">
        <v>431166</v>
      </c>
      <c r="D487" s="83">
        <v>361498</v>
      </c>
      <c r="E487" s="83">
        <v>300055</v>
      </c>
      <c r="F487">
        <v>19.27</v>
      </c>
      <c r="G487">
        <v>43.69</v>
      </c>
      <c r="H487" s="83">
        <v>3066725</v>
      </c>
      <c r="I487" s="83">
        <v>3522750</v>
      </c>
      <c r="J487">
        <v>-12.94</v>
      </c>
      <c r="K487" t="s">
        <v>627</v>
      </c>
    </row>
    <row r="488" spans="1:11" customFormat="1" hidden="1">
      <c r="A488">
        <v>3444</v>
      </c>
      <c r="B488" t="s">
        <v>943</v>
      </c>
      <c r="C488" s="83">
        <v>74674</v>
      </c>
      <c r="D488" s="83">
        <v>87699</v>
      </c>
      <c r="E488" s="83">
        <v>104338</v>
      </c>
      <c r="F488">
        <v>-14.85</v>
      </c>
      <c r="G488">
        <v>-28.43</v>
      </c>
      <c r="H488" s="83">
        <v>743646</v>
      </c>
      <c r="I488" s="83">
        <v>831013</v>
      </c>
      <c r="J488">
        <v>-10.51</v>
      </c>
      <c r="K488" t="s">
        <v>627</v>
      </c>
    </row>
    <row r="489" spans="1:11" customFormat="1" hidden="1">
      <c r="A489">
        <v>3441</v>
      </c>
      <c r="B489" t="s">
        <v>807</v>
      </c>
      <c r="C489" s="83">
        <v>55354</v>
      </c>
      <c r="D489" s="83">
        <v>77415</v>
      </c>
      <c r="E489" s="83">
        <v>89041</v>
      </c>
      <c r="F489">
        <v>-28.49</v>
      </c>
      <c r="G489">
        <v>-37.83</v>
      </c>
      <c r="H489" s="83">
        <v>536075</v>
      </c>
      <c r="I489" s="83">
        <v>571387</v>
      </c>
      <c r="J489">
        <v>-6.18</v>
      </c>
      <c r="K489" t="s">
        <v>627</v>
      </c>
    </row>
    <row r="490" spans="1:11" customFormat="1" hidden="1">
      <c r="A490">
        <v>3438</v>
      </c>
      <c r="B490" t="s">
        <v>735</v>
      </c>
      <c r="C490" s="83">
        <v>68983</v>
      </c>
      <c r="D490" s="83">
        <v>56072</v>
      </c>
      <c r="E490" s="83">
        <v>98177</v>
      </c>
      <c r="F490">
        <v>23.02</v>
      </c>
      <c r="G490">
        <v>-29.73</v>
      </c>
      <c r="H490" s="83">
        <v>666964</v>
      </c>
      <c r="I490" s="83">
        <v>792748</v>
      </c>
      <c r="J490">
        <v>-15.86</v>
      </c>
      <c r="K490" t="s">
        <v>627</v>
      </c>
    </row>
    <row r="491" spans="1:11" customFormat="1" hidden="1">
      <c r="A491">
        <v>3434</v>
      </c>
      <c r="B491" t="s">
        <v>369</v>
      </c>
      <c r="C491" s="83">
        <v>73012</v>
      </c>
      <c r="D491" s="83">
        <v>56475</v>
      </c>
      <c r="E491" s="83">
        <v>68102</v>
      </c>
      <c r="F491">
        <v>29.28</v>
      </c>
      <c r="G491">
        <v>7.2</v>
      </c>
      <c r="H491" s="83">
        <v>509484</v>
      </c>
      <c r="I491" s="83">
        <v>512391</v>
      </c>
      <c r="J491">
        <v>-0.56000000000000005</v>
      </c>
      <c r="K491" t="s">
        <v>627</v>
      </c>
    </row>
    <row r="492" spans="1:11" customFormat="1" hidden="1">
      <c r="A492">
        <v>3431</v>
      </c>
      <c r="B492" t="s">
        <v>845</v>
      </c>
      <c r="C492" s="83">
        <v>45793</v>
      </c>
      <c r="D492" s="83">
        <v>30085</v>
      </c>
      <c r="E492" s="83">
        <v>59774</v>
      </c>
      <c r="F492">
        <v>52.21</v>
      </c>
      <c r="G492">
        <v>-23.38</v>
      </c>
      <c r="H492" s="83">
        <v>414200</v>
      </c>
      <c r="I492" s="83">
        <v>645564</v>
      </c>
      <c r="J492">
        <v>-35.83</v>
      </c>
      <c r="K492" t="s">
        <v>627</v>
      </c>
    </row>
    <row r="493" spans="1:11" customFormat="1" hidden="1">
      <c r="A493">
        <v>3687</v>
      </c>
      <c r="B493" t="s">
        <v>402</v>
      </c>
      <c r="C493" s="83">
        <v>61504</v>
      </c>
      <c r="D493" s="83">
        <v>64149</v>
      </c>
      <c r="E493" s="83">
        <v>31606</v>
      </c>
      <c r="F493">
        <v>-4.12</v>
      </c>
      <c r="G493">
        <v>94.59</v>
      </c>
      <c r="H493" s="83">
        <v>545062</v>
      </c>
      <c r="I493" s="83">
        <v>271169</v>
      </c>
      <c r="J493">
        <v>101</v>
      </c>
      <c r="K493" t="s">
        <v>1066</v>
      </c>
    </row>
    <row r="494" spans="1:11" customFormat="1" hidden="1">
      <c r="A494">
        <v>5230</v>
      </c>
      <c r="B494" t="s">
        <v>450</v>
      </c>
      <c r="C494" s="83">
        <v>125009</v>
      </c>
      <c r="D494" s="83">
        <v>130571</v>
      </c>
      <c r="E494" s="83">
        <v>110089</v>
      </c>
      <c r="F494">
        <v>-4.25</v>
      </c>
      <c r="G494">
        <v>13.55</v>
      </c>
      <c r="H494" s="83">
        <v>1069796</v>
      </c>
      <c r="I494" s="83">
        <v>1008012</v>
      </c>
      <c r="J494">
        <v>6.12</v>
      </c>
      <c r="K494" t="s">
        <v>627</v>
      </c>
    </row>
    <row r="495" spans="1:11" customFormat="1" hidden="1">
      <c r="A495">
        <v>3388</v>
      </c>
      <c r="B495" t="s">
        <v>367</v>
      </c>
      <c r="C495" s="83">
        <v>588410</v>
      </c>
      <c r="D495" s="83">
        <v>622731</v>
      </c>
      <c r="E495" s="83">
        <v>618834</v>
      </c>
      <c r="F495">
        <v>-5.51</v>
      </c>
      <c r="G495">
        <v>-4.91</v>
      </c>
      <c r="H495" s="83">
        <v>5310288</v>
      </c>
      <c r="I495" s="83">
        <v>5607959</v>
      </c>
      <c r="J495">
        <v>-5.3</v>
      </c>
      <c r="K495" t="s">
        <v>627</v>
      </c>
    </row>
    <row r="496" spans="1:11" customFormat="1" hidden="1">
      <c r="A496">
        <v>3374</v>
      </c>
      <c r="B496" t="s">
        <v>366</v>
      </c>
      <c r="C496" s="83">
        <v>387218</v>
      </c>
      <c r="D496" s="83">
        <v>370388</v>
      </c>
      <c r="E496" s="83">
        <v>400454</v>
      </c>
      <c r="F496">
        <v>4.54</v>
      </c>
      <c r="G496">
        <v>-3.3</v>
      </c>
      <c r="H496" s="83">
        <v>3852054</v>
      </c>
      <c r="I496" s="83">
        <v>3496456</v>
      </c>
      <c r="J496">
        <v>10.17</v>
      </c>
      <c r="K496" t="s">
        <v>627</v>
      </c>
    </row>
    <row r="497" spans="1:11" customFormat="1" hidden="1">
      <c r="A497">
        <v>6803</v>
      </c>
      <c r="B497" t="s">
        <v>1050</v>
      </c>
      <c r="C497" s="83">
        <v>344315</v>
      </c>
      <c r="D497" s="83">
        <v>360729</v>
      </c>
      <c r="E497" s="83">
        <v>331993</v>
      </c>
      <c r="F497">
        <v>-4.55</v>
      </c>
      <c r="G497">
        <v>3.71</v>
      </c>
      <c r="H497" s="83">
        <v>3058891</v>
      </c>
      <c r="I497" s="83">
        <v>2945529</v>
      </c>
      <c r="J497">
        <v>3.84</v>
      </c>
      <c r="K497" t="s">
        <v>627</v>
      </c>
    </row>
    <row r="498" spans="1:11" customFormat="1" hidden="1">
      <c r="A498">
        <v>3372</v>
      </c>
      <c r="B498" t="s">
        <v>364</v>
      </c>
      <c r="C498" s="83">
        <v>151980</v>
      </c>
      <c r="D498" s="83">
        <v>119419</v>
      </c>
      <c r="E498" s="83">
        <v>186738</v>
      </c>
      <c r="F498">
        <v>27.26</v>
      </c>
      <c r="G498">
        <v>-18.61</v>
      </c>
      <c r="H498" s="83">
        <v>1408337</v>
      </c>
      <c r="I498" s="83">
        <v>1635833</v>
      </c>
      <c r="J498">
        <v>-13.9</v>
      </c>
      <c r="K498" t="s">
        <v>627</v>
      </c>
    </row>
    <row r="499" spans="1:11" customFormat="1" hidden="1">
      <c r="A499">
        <v>3363</v>
      </c>
      <c r="B499" t="s">
        <v>363</v>
      </c>
      <c r="C499" s="83">
        <v>74307</v>
      </c>
      <c r="D499" s="83">
        <v>84921</v>
      </c>
      <c r="E499" s="83">
        <v>58979</v>
      </c>
      <c r="F499">
        <v>-12.49</v>
      </c>
      <c r="G499">
        <v>25.98</v>
      </c>
      <c r="H499" s="83">
        <v>705044</v>
      </c>
      <c r="I499" s="83">
        <v>707789</v>
      </c>
      <c r="J499">
        <v>-0.38</v>
      </c>
      <c r="K499" t="s">
        <v>627</v>
      </c>
    </row>
    <row r="500" spans="1:11" customFormat="1" hidden="1">
      <c r="A500">
        <v>3362</v>
      </c>
      <c r="B500" t="s">
        <v>805</v>
      </c>
      <c r="C500" s="83">
        <v>105522</v>
      </c>
      <c r="D500" s="83">
        <v>102048</v>
      </c>
      <c r="E500" s="83">
        <v>150045</v>
      </c>
      <c r="F500">
        <v>3.4</v>
      </c>
      <c r="G500">
        <v>-29.67</v>
      </c>
      <c r="H500" s="83">
        <v>917226</v>
      </c>
      <c r="I500" s="83">
        <v>1112684</v>
      </c>
      <c r="J500">
        <v>-17.559999999999999</v>
      </c>
      <c r="K500" t="s">
        <v>627</v>
      </c>
    </row>
    <row r="501" spans="1:11" customFormat="1" hidden="1">
      <c r="A501">
        <v>3360</v>
      </c>
      <c r="B501" t="s">
        <v>362</v>
      </c>
      <c r="C501" s="83">
        <v>1215858</v>
      </c>
      <c r="D501" s="83">
        <v>1125308</v>
      </c>
      <c r="E501" s="83">
        <v>913157</v>
      </c>
      <c r="F501">
        <v>8.0399999999999991</v>
      </c>
      <c r="G501">
        <v>33.14</v>
      </c>
      <c r="H501" s="83">
        <v>8374621</v>
      </c>
      <c r="I501" s="83">
        <v>9057172</v>
      </c>
      <c r="J501">
        <v>-7.53</v>
      </c>
      <c r="K501" t="s">
        <v>627</v>
      </c>
    </row>
    <row r="502" spans="1:11" customFormat="1" hidden="1">
      <c r="A502">
        <v>3354</v>
      </c>
      <c r="B502" t="s">
        <v>880</v>
      </c>
      <c r="C502" s="83">
        <v>45841</v>
      </c>
      <c r="D502" s="83">
        <v>43157</v>
      </c>
      <c r="E502" s="83">
        <v>75110</v>
      </c>
      <c r="F502">
        <v>6.21</v>
      </c>
      <c r="G502">
        <v>-38.96</v>
      </c>
      <c r="H502" s="83">
        <v>424252</v>
      </c>
      <c r="I502" s="83">
        <v>631757</v>
      </c>
      <c r="J502">
        <v>-32.840000000000003</v>
      </c>
      <c r="K502" t="s">
        <v>627</v>
      </c>
    </row>
    <row r="503" spans="1:11" customFormat="1" hidden="1">
      <c r="A503">
        <v>3339</v>
      </c>
      <c r="B503" t="s">
        <v>804</v>
      </c>
      <c r="C503" s="83">
        <v>90980</v>
      </c>
      <c r="D503" s="83">
        <v>82464</v>
      </c>
      <c r="E503" s="83">
        <v>179841</v>
      </c>
      <c r="F503">
        <v>10.32</v>
      </c>
      <c r="G503">
        <v>-49.41</v>
      </c>
      <c r="H503" s="83">
        <v>857558</v>
      </c>
      <c r="I503" s="83">
        <v>1563366</v>
      </c>
      <c r="J503">
        <v>-45.14</v>
      </c>
      <c r="K503" t="s">
        <v>627</v>
      </c>
    </row>
    <row r="504" spans="1:11" customFormat="1" hidden="1">
      <c r="A504">
        <v>3332</v>
      </c>
      <c r="B504" t="s">
        <v>361</v>
      </c>
      <c r="C504" s="83">
        <v>94812</v>
      </c>
      <c r="D504" s="83">
        <v>88330</v>
      </c>
      <c r="E504" s="83">
        <v>101343</v>
      </c>
      <c r="F504">
        <v>7.33</v>
      </c>
      <c r="G504">
        <v>-6.44</v>
      </c>
      <c r="H504" s="83">
        <v>875418</v>
      </c>
      <c r="I504" s="83">
        <v>905785</v>
      </c>
      <c r="J504">
        <v>-3.35</v>
      </c>
      <c r="K504" t="s">
        <v>627</v>
      </c>
    </row>
    <row r="505" spans="1:11" customFormat="1" hidden="1">
      <c r="A505">
        <v>3325</v>
      </c>
      <c r="B505" t="s">
        <v>774</v>
      </c>
      <c r="C505" s="83">
        <v>137270</v>
      </c>
      <c r="D505" s="83">
        <v>91771</v>
      </c>
      <c r="E505" s="83">
        <v>112354</v>
      </c>
      <c r="F505">
        <v>49.57</v>
      </c>
      <c r="G505">
        <v>22.17</v>
      </c>
      <c r="H505" s="83">
        <v>950086</v>
      </c>
      <c r="I505" s="83">
        <v>1056552</v>
      </c>
      <c r="J505">
        <v>-10.07</v>
      </c>
      <c r="K505" t="s">
        <v>627</v>
      </c>
    </row>
    <row r="506" spans="1:11" customFormat="1" hidden="1">
      <c r="A506">
        <v>3498</v>
      </c>
      <c r="B506" t="s">
        <v>973</v>
      </c>
      <c r="C506" s="83">
        <v>350354</v>
      </c>
      <c r="D506" s="83">
        <v>368047</v>
      </c>
      <c r="E506" s="83">
        <v>219125</v>
      </c>
      <c r="F506">
        <v>-4.8</v>
      </c>
      <c r="G506">
        <v>59.88</v>
      </c>
      <c r="H506" s="83">
        <v>2237045</v>
      </c>
      <c r="I506" s="83">
        <v>1587473</v>
      </c>
      <c r="J506">
        <v>40.909999999999997</v>
      </c>
      <c r="K506" t="s">
        <v>974</v>
      </c>
    </row>
    <row r="507" spans="1:11" customFormat="1" hidden="1">
      <c r="A507">
        <v>4953</v>
      </c>
      <c r="B507" t="s">
        <v>958</v>
      </c>
      <c r="C507" s="83">
        <v>212122</v>
      </c>
      <c r="D507" s="83">
        <v>223148</v>
      </c>
      <c r="E507" s="83">
        <v>191742</v>
      </c>
      <c r="F507">
        <v>-4.9400000000000004</v>
      </c>
      <c r="G507">
        <v>10.62</v>
      </c>
      <c r="H507" s="83">
        <v>1894595</v>
      </c>
      <c r="I507" s="83">
        <v>1788276</v>
      </c>
      <c r="J507">
        <v>5.94</v>
      </c>
      <c r="K507" t="s">
        <v>627</v>
      </c>
    </row>
    <row r="508" spans="1:11" customFormat="1" hidden="1">
      <c r="A508">
        <v>3322</v>
      </c>
      <c r="B508" t="s">
        <v>879</v>
      </c>
      <c r="C508" s="83">
        <v>209711</v>
      </c>
      <c r="D508" s="83">
        <v>164697</v>
      </c>
      <c r="E508" s="83">
        <v>210013</v>
      </c>
      <c r="F508">
        <v>27.33</v>
      </c>
      <c r="G508">
        <v>-0.14000000000000001</v>
      </c>
      <c r="H508" s="83">
        <v>1515446</v>
      </c>
      <c r="I508" s="83">
        <v>1746203</v>
      </c>
      <c r="J508">
        <v>-13.21</v>
      </c>
      <c r="K508" t="s">
        <v>627</v>
      </c>
    </row>
    <row r="509" spans="1:11" customFormat="1" hidden="1">
      <c r="A509">
        <v>3317</v>
      </c>
      <c r="B509" t="s">
        <v>734</v>
      </c>
      <c r="C509" s="83">
        <v>229544</v>
      </c>
      <c r="D509" s="83">
        <v>193978</v>
      </c>
      <c r="E509" s="83">
        <v>195557</v>
      </c>
      <c r="F509">
        <v>18.329999999999998</v>
      </c>
      <c r="G509">
        <v>17.37</v>
      </c>
      <c r="H509" s="83">
        <v>1432238</v>
      </c>
      <c r="I509" s="83">
        <v>1848278</v>
      </c>
      <c r="J509">
        <v>-22.5</v>
      </c>
      <c r="K509" t="s">
        <v>627</v>
      </c>
    </row>
    <row r="510" spans="1:11" customFormat="1" hidden="1">
      <c r="A510">
        <v>3313</v>
      </c>
      <c r="B510" t="s">
        <v>359</v>
      </c>
      <c r="C510" s="83">
        <v>164192</v>
      </c>
      <c r="D510" s="83">
        <v>160577</v>
      </c>
      <c r="E510" s="83">
        <v>184699</v>
      </c>
      <c r="F510">
        <v>2.25</v>
      </c>
      <c r="G510">
        <v>-11.1</v>
      </c>
      <c r="H510" s="83">
        <v>1289649</v>
      </c>
      <c r="I510" s="83">
        <v>1439603</v>
      </c>
      <c r="J510">
        <v>-10.41</v>
      </c>
      <c r="K510" t="s">
        <v>627</v>
      </c>
    </row>
    <row r="511" spans="1:11" customFormat="1" hidden="1">
      <c r="A511">
        <v>3310</v>
      </c>
      <c r="B511" t="s">
        <v>878</v>
      </c>
      <c r="C511" s="83">
        <v>32217</v>
      </c>
      <c r="D511" s="83">
        <v>30418</v>
      </c>
      <c r="E511" s="83">
        <v>38117</v>
      </c>
      <c r="F511">
        <v>5.91</v>
      </c>
      <c r="G511">
        <v>-15.47</v>
      </c>
      <c r="H511" s="83">
        <v>347430</v>
      </c>
      <c r="I511" s="83">
        <v>316382</v>
      </c>
      <c r="J511">
        <v>9.81</v>
      </c>
      <c r="K511" t="s">
        <v>627</v>
      </c>
    </row>
    <row r="512" spans="1:11" customFormat="1" hidden="1">
      <c r="A512">
        <v>3306</v>
      </c>
      <c r="B512" t="s">
        <v>844</v>
      </c>
      <c r="C512" s="83">
        <v>131213</v>
      </c>
      <c r="D512" s="83">
        <v>130413</v>
      </c>
      <c r="E512" s="83">
        <v>130231</v>
      </c>
      <c r="F512">
        <v>0.61</v>
      </c>
      <c r="G512">
        <v>0.75</v>
      </c>
      <c r="H512" s="83">
        <v>971130</v>
      </c>
      <c r="I512" s="83">
        <v>1015176</v>
      </c>
      <c r="J512">
        <v>-4.33</v>
      </c>
      <c r="K512" t="s">
        <v>627</v>
      </c>
    </row>
    <row r="513" spans="1:11" customFormat="1" hidden="1">
      <c r="A513">
        <v>3303</v>
      </c>
      <c r="B513" t="s">
        <v>358</v>
      </c>
      <c r="C513" s="83">
        <v>248931</v>
      </c>
      <c r="D513" s="83">
        <v>217623</v>
      </c>
      <c r="E513" s="83">
        <v>227786</v>
      </c>
      <c r="F513">
        <v>14.38</v>
      </c>
      <c r="G513">
        <v>9.2799999999999994</v>
      </c>
      <c r="H513" s="83">
        <v>1775106</v>
      </c>
      <c r="I513" s="83">
        <v>2118965</v>
      </c>
      <c r="J513">
        <v>-16.22</v>
      </c>
      <c r="K513" t="s">
        <v>627</v>
      </c>
    </row>
    <row r="514" spans="1:11" customFormat="1" hidden="1">
      <c r="A514">
        <v>1566</v>
      </c>
      <c r="B514" t="s">
        <v>306</v>
      </c>
      <c r="C514" s="83">
        <v>439140</v>
      </c>
      <c r="D514" s="83">
        <v>464093</v>
      </c>
      <c r="E514" s="83">
        <v>209842</v>
      </c>
      <c r="F514">
        <v>-5.37</v>
      </c>
      <c r="G514">
        <v>109.27</v>
      </c>
      <c r="H514" s="83">
        <v>3081991</v>
      </c>
      <c r="I514" s="83">
        <v>1423998</v>
      </c>
      <c r="J514">
        <v>116.43</v>
      </c>
      <c r="K514" t="s">
        <v>642</v>
      </c>
    </row>
    <row r="515" spans="1:11" customFormat="1" hidden="1">
      <c r="A515">
        <v>3297</v>
      </c>
      <c r="B515" t="s">
        <v>356</v>
      </c>
      <c r="C515" s="83">
        <v>47126</v>
      </c>
      <c r="D515" s="83">
        <v>42043</v>
      </c>
      <c r="E515" s="83">
        <v>76758</v>
      </c>
      <c r="F515">
        <v>12.09</v>
      </c>
      <c r="G515">
        <v>-38.6</v>
      </c>
      <c r="H515" s="83">
        <v>410143</v>
      </c>
      <c r="I515" s="83">
        <v>543528</v>
      </c>
      <c r="J515">
        <v>-24.54</v>
      </c>
      <c r="K515" t="s">
        <v>627</v>
      </c>
    </row>
    <row r="516" spans="1:11" customFormat="1" hidden="1">
      <c r="A516">
        <v>5287</v>
      </c>
      <c r="B516" t="s">
        <v>456</v>
      </c>
      <c r="C516" s="83">
        <v>113538</v>
      </c>
      <c r="D516" s="83">
        <v>120247</v>
      </c>
      <c r="E516" s="83">
        <v>95671</v>
      </c>
      <c r="F516">
        <v>-5.57</v>
      </c>
      <c r="G516">
        <v>18.670000000000002</v>
      </c>
      <c r="H516" s="83">
        <v>1026753</v>
      </c>
      <c r="I516" s="83">
        <v>819172</v>
      </c>
      <c r="J516">
        <v>25.34</v>
      </c>
      <c r="K516" t="s">
        <v>627</v>
      </c>
    </row>
    <row r="517" spans="1:11" customFormat="1" hidden="1">
      <c r="A517">
        <v>3293</v>
      </c>
      <c r="B517" t="s">
        <v>1064</v>
      </c>
      <c r="C517" s="83">
        <v>176535</v>
      </c>
      <c r="D517" s="83">
        <v>163625</v>
      </c>
      <c r="E517" s="83">
        <v>177542</v>
      </c>
      <c r="F517">
        <v>7.88</v>
      </c>
      <c r="G517">
        <v>-0.56000000000000005</v>
      </c>
      <c r="H517" s="83">
        <v>1348420</v>
      </c>
      <c r="I517" s="83">
        <v>1246850</v>
      </c>
      <c r="J517">
        <v>8.14</v>
      </c>
      <c r="K517" t="s">
        <v>627</v>
      </c>
    </row>
    <row r="518" spans="1:11" customFormat="1" hidden="1">
      <c r="A518">
        <v>3291</v>
      </c>
      <c r="B518" t="s">
        <v>354</v>
      </c>
      <c r="C518" s="83">
        <v>52761</v>
      </c>
      <c r="D518" s="83">
        <v>58114</v>
      </c>
      <c r="E518" s="83">
        <v>68319</v>
      </c>
      <c r="F518">
        <v>-9.2100000000000009</v>
      </c>
      <c r="G518">
        <v>-22.77</v>
      </c>
      <c r="H518" s="83">
        <v>517031</v>
      </c>
      <c r="I518" s="83">
        <v>685857</v>
      </c>
      <c r="J518">
        <v>-24.61</v>
      </c>
      <c r="K518" t="s">
        <v>627</v>
      </c>
    </row>
    <row r="519" spans="1:11" customFormat="1" hidden="1">
      <c r="A519">
        <v>3290</v>
      </c>
      <c r="B519" t="s">
        <v>843</v>
      </c>
      <c r="C519" s="83">
        <v>230796</v>
      </c>
      <c r="D519" s="83">
        <v>269189</v>
      </c>
      <c r="E519" s="83">
        <v>274266</v>
      </c>
      <c r="F519">
        <v>-14.26</v>
      </c>
      <c r="G519">
        <v>-15.84</v>
      </c>
      <c r="H519" s="83">
        <v>2115492</v>
      </c>
      <c r="I519" s="83">
        <v>2403031</v>
      </c>
      <c r="J519">
        <v>-11.96</v>
      </c>
      <c r="K519" t="s">
        <v>627</v>
      </c>
    </row>
    <row r="520" spans="1:11" customFormat="1" hidden="1">
      <c r="A520">
        <v>1259</v>
      </c>
      <c r="B520" t="s">
        <v>302</v>
      </c>
      <c r="C520" s="83">
        <v>370414</v>
      </c>
      <c r="D520" s="83">
        <v>394274</v>
      </c>
      <c r="E520" s="83">
        <v>366343</v>
      </c>
      <c r="F520">
        <v>-6.05</v>
      </c>
      <c r="G520">
        <v>1.1100000000000001</v>
      </c>
      <c r="H520" s="83">
        <v>3343124</v>
      </c>
      <c r="I520" s="83">
        <v>3275938</v>
      </c>
      <c r="J520">
        <v>2.0499999999999998</v>
      </c>
      <c r="K520" t="s">
        <v>627</v>
      </c>
    </row>
    <row r="521" spans="1:11" customFormat="1" hidden="1">
      <c r="A521">
        <v>3287</v>
      </c>
      <c r="B521" t="s">
        <v>773</v>
      </c>
      <c r="C521" s="83">
        <v>30082</v>
      </c>
      <c r="D521" s="83">
        <v>38531</v>
      </c>
      <c r="E521" s="83">
        <v>53529</v>
      </c>
      <c r="F521">
        <v>-21.92</v>
      </c>
      <c r="G521">
        <v>-43.8</v>
      </c>
      <c r="H521" s="83">
        <v>298925</v>
      </c>
      <c r="I521" s="83">
        <v>451068</v>
      </c>
      <c r="J521">
        <v>-33.72</v>
      </c>
      <c r="K521" t="s">
        <v>627</v>
      </c>
    </row>
    <row r="522" spans="1:11" customFormat="1" hidden="1">
      <c r="A522">
        <v>8077</v>
      </c>
      <c r="B522" t="s">
        <v>1080</v>
      </c>
      <c r="C522" s="83">
        <v>51803</v>
      </c>
      <c r="D522" s="83">
        <v>55184</v>
      </c>
      <c r="E522" s="83">
        <v>2464</v>
      </c>
      <c r="F522">
        <v>-6.12</v>
      </c>
      <c r="G522" s="113">
        <v>2002.39</v>
      </c>
      <c r="H522" s="83">
        <v>150365</v>
      </c>
      <c r="I522" s="83">
        <v>29630</v>
      </c>
      <c r="J522">
        <v>407.47</v>
      </c>
      <c r="K522" t="s">
        <v>622</v>
      </c>
    </row>
    <row r="523" spans="1:11" customFormat="1" hidden="1">
      <c r="A523">
        <v>3284</v>
      </c>
      <c r="B523" t="s">
        <v>352</v>
      </c>
      <c r="C523" s="83">
        <v>80980</v>
      </c>
      <c r="D523" s="83">
        <v>75626</v>
      </c>
      <c r="E523" s="83">
        <v>84743</v>
      </c>
      <c r="F523">
        <v>7.07</v>
      </c>
      <c r="G523">
        <v>-4.4400000000000004</v>
      </c>
      <c r="H523" s="83">
        <v>679994</v>
      </c>
      <c r="I523" s="83">
        <v>761534</v>
      </c>
      <c r="J523">
        <v>-10.7</v>
      </c>
      <c r="K523" t="s">
        <v>627</v>
      </c>
    </row>
    <row r="524" spans="1:11" customFormat="1" hidden="1">
      <c r="A524">
        <v>3272</v>
      </c>
      <c r="B524" t="s">
        <v>351</v>
      </c>
      <c r="C524" s="83">
        <v>244579</v>
      </c>
      <c r="D524" s="83">
        <v>212385</v>
      </c>
      <c r="E524" s="83">
        <v>254782</v>
      </c>
      <c r="F524">
        <v>15.15</v>
      </c>
      <c r="G524">
        <v>-4</v>
      </c>
      <c r="H524" s="83">
        <v>2156774</v>
      </c>
      <c r="I524" s="83">
        <v>2371841</v>
      </c>
      <c r="J524">
        <v>-9.06</v>
      </c>
      <c r="K524" t="s">
        <v>627</v>
      </c>
    </row>
    <row r="525" spans="1:11" customFormat="1" hidden="1">
      <c r="A525">
        <v>3268</v>
      </c>
      <c r="B525" t="s">
        <v>350</v>
      </c>
      <c r="C525" s="83">
        <v>43122</v>
      </c>
      <c r="D525" s="83">
        <v>71122</v>
      </c>
      <c r="E525" s="83">
        <v>73449</v>
      </c>
      <c r="F525">
        <v>-39.36</v>
      </c>
      <c r="G525">
        <v>-41.28</v>
      </c>
      <c r="H525" s="83">
        <v>567940</v>
      </c>
      <c r="I525" s="83">
        <v>680035</v>
      </c>
      <c r="J525">
        <v>-16.48</v>
      </c>
      <c r="K525" t="s">
        <v>627</v>
      </c>
    </row>
    <row r="526" spans="1:11" customFormat="1" hidden="1">
      <c r="A526">
        <v>3265</v>
      </c>
      <c r="B526" t="s">
        <v>349</v>
      </c>
      <c r="C526" s="83">
        <v>146220</v>
      </c>
      <c r="D526" s="83">
        <v>197890</v>
      </c>
      <c r="E526" s="83">
        <v>373815</v>
      </c>
      <c r="F526">
        <v>-26.11</v>
      </c>
      <c r="G526">
        <v>-60.88</v>
      </c>
      <c r="H526" s="83">
        <v>2386412</v>
      </c>
      <c r="I526" s="83">
        <v>3215633</v>
      </c>
      <c r="J526">
        <v>-25.78</v>
      </c>
      <c r="K526" t="s">
        <v>733</v>
      </c>
    </row>
    <row r="527" spans="1:11" customFormat="1" hidden="1">
      <c r="A527">
        <v>3264</v>
      </c>
      <c r="B527" t="s">
        <v>732</v>
      </c>
      <c r="C527" s="83">
        <v>506305</v>
      </c>
      <c r="D527" s="83">
        <v>554600</v>
      </c>
      <c r="E527" s="83">
        <v>524236</v>
      </c>
      <c r="F527" s="82">
        <v>-8.6999999999999993</v>
      </c>
      <c r="G527">
        <v>-3.42</v>
      </c>
      <c r="H527" s="83">
        <v>4592361</v>
      </c>
      <c r="I527" s="83">
        <v>4282715</v>
      </c>
      <c r="J527">
        <v>7.23</v>
      </c>
      <c r="K527" t="s">
        <v>627</v>
      </c>
    </row>
    <row r="528" spans="1:11" customFormat="1" hidden="1">
      <c r="A528">
        <v>3260</v>
      </c>
      <c r="B528" t="s">
        <v>731</v>
      </c>
      <c r="C528" s="83">
        <v>1642522</v>
      </c>
      <c r="D528" s="83">
        <v>1661338</v>
      </c>
      <c r="E528" s="83">
        <v>2447773</v>
      </c>
      <c r="F528">
        <v>-1.1299999999999999</v>
      </c>
      <c r="G528">
        <v>-32.89</v>
      </c>
      <c r="H528" s="83">
        <v>14976108</v>
      </c>
      <c r="I528" s="83">
        <v>22246940</v>
      </c>
      <c r="J528">
        <v>-32.68</v>
      </c>
      <c r="K528" t="s">
        <v>627</v>
      </c>
    </row>
    <row r="529" spans="1:11" customFormat="1" hidden="1">
      <c r="A529">
        <v>3259</v>
      </c>
      <c r="B529" t="s">
        <v>730</v>
      </c>
      <c r="C529" s="83">
        <v>32270</v>
      </c>
      <c r="D529" s="83">
        <v>38657</v>
      </c>
      <c r="E529" s="83">
        <v>51080</v>
      </c>
      <c r="F529">
        <v>-16.52</v>
      </c>
      <c r="G529">
        <v>-36.82</v>
      </c>
      <c r="H529" s="83">
        <v>365814</v>
      </c>
      <c r="I529" s="83">
        <v>415025</v>
      </c>
      <c r="J529">
        <v>-11.85</v>
      </c>
      <c r="K529" t="s">
        <v>627</v>
      </c>
    </row>
    <row r="530" spans="1:11" customFormat="1" hidden="1">
      <c r="A530">
        <v>3252</v>
      </c>
      <c r="B530" t="s">
        <v>348</v>
      </c>
      <c r="C530" s="83">
        <v>7512</v>
      </c>
      <c r="D530" s="83">
        <v>7509</v>
      </c>
      <c r="E530" s="83">
        <v>15682</v>
      </c>
      <c r="F530">
        <v>0.03</v>
      </c>
      <c r="G530">
        <v>-52.09</v>
      </c>
      <c r="H530" s="83">
        <v>112390</v>
      </c>
      <c r="I530" s="83">
        <v>148769</v>
      </c>
      <c r="J530">
        <v>-24.45</v>
      </c>
      <c r="K530" t="s">
        <v>1044</v>
      </c>
    </row>
    <row r="531" spans="1:11" customFormat="1" hidden="1">
      <c r="A531">
        <v>4401</v>
      </c>
      <c r="B531" t="s">
        <v>632</v>
      </c>
      <c r="C531" s="83">
        <v>381853</v>
      </c>
      <c r="D531" s="83">
        <v>407960</v>
      </c>
      <c r="E531" s="83">
        <v>366549</v>
      </c>
      <c r="F531">
        <v>-6.39</v>
      </c>
      <c r="G531">
        <v>4.17</v>
      </c>
      <c r="H531" s="83">
        <v>3510657</v>
      </c>
      <c r="I531" s="83">
        <v>3294013</v>
      </c>
      <c r="J531" s="113">
        <v>6.57</v>
      </c>
      <c r="K531" t="s">
        <v>627</v>
      </c>
    </row>
    <row r="532" spans="1:11" customFormat="1" hidden="1">
      <c r="A532">
        <v>4138</v>
      </c>
      <c r="B532" t="s">
        <v>691</v>
      </c>
      <c r="C532" s="83">
        <v>97200</v>
      </c>
      <c r="D532" s="83">
        <v>104071</v>
      </c>
      <c r="E532" s="83">
        <v>88601</v>
      </c>
      <c r="F532">
        <v>-6.6</v>
      </c>
      <c r="G532">
        <v>9.6999999999999993</v>
      </c>
      <c r="H532" s="83">
        <v>993148</v>
      </c>
      <c r="I532" s="83">
        <v>890888</v>
      </c>
      <c r="J532">
        <v>11.47</v>
      </c>
      <c r="K532" t="s">
        <v>627</v>
      </c>
    </row>
    <row r="533" spans="1:11" customFormat="1" hidden="1">
      <c r="A533">
        <v>3232</v>
      </c>
      <c r="B533" t="s">
        <v>345</v>
      </c>
      <c r="C533" s="83">
        <v>49864</v>
      </c>
      <c r="D533" s="83">
        <v>53230</v>
      </c>
      <c r="E533" s="83">
        <v>159442</v>
      </c>
      <c r="F533">
        <v>-6.32</v>
      </c>
      <c r="G533">
        <v>-68.72</v>
      </c>
      <c r="H533" s="83">
        <v>579734</v>
      </c>
      <c r="I533" s="83">
        <v>652108</v>
      </c>
      <c r="J533">
        <v>-11.09</v>
      </c>
      <c r="K533" t="s">
        <v>942</v>
      </c>
    </row>
    <row r="534" spans="1:11" customFormat="1" hidden="1">
      <c r="A534">
        <v>3230</v>
      </c>
      <c r="B534" t="s">
        <v>803</v>
      </c>
      <c r="C534" s="83">
        <v>136776</v>
      </c>
      <c r="D534" s="83">
        <v>119719</v>
      </c>
      <c r="E534" s="83">
        <v>187429</v>
      </c>
      <c r="F534">
        <v>14.24</v>
      </c>
      <c r="G534">
        <v>-27.02</v>
      </c>
      <c r="H534" s="83">
        <v>1232644</v>
      </c>
      <c r="I534" s="83">
        <v>1644700</v>
      </c>
      <c r="J534">
        <v>-25.05</v>
      </c>
      <c r="K534" t="s">
        <v>627</v>
      </c>
    </row>
    <row r="535" spans="1:11" customFormat="1" hidden="1">
      <c r="A535">
        <v>3228</v>
      </c>
      <c r="B535" t="s">
        <v>344</v>
      </c>
      <c r="C535" s="83">
        <v>19018</v>
      </c>
      <c r="D535" s="83">
        <v>19038</v>
      </c>
      <c r="E535" s="83">
        <v>21391</v>
      </c>
      <c r="F535">
        <v>-0.1</v>
      </c>
      <c r="G535">
        <v>-11.09</v>
      </c>
      <c r="H535" s="83">
        <v>206262</v>
      </c>
      <c r="I535" s="83">
        <v>203019</v>
      </c>
      <c r="J535">
        <v>1.59</v>
      </c>
      <c r="K535" t="s">
        <v>627</v>
      </c>
    </row>
    <row r="536" spans="1:11" customFormat="1" hidden="1">
      <c r="A536">
        <v>3227</v>
      </c>
      <c r="B536" t="s">
        <v>343</v>
      </c>
      <c r="C536" s="83">
        <v>350080</v>
      </c>
      <c r="D536" s="83">
        <v>352764</v>
      </c>
      <c r="E536" s="83">
        <v>388644</v>
      </c>
      <c r="F536">
        <v>-0.76</v>
      </c>
      <c r="G536">
        <v>-9.92</v>
      </c>
      <c r="H536" s="83">
        <v>3241612</v>
      </c>
      <c r="I536" s="83">
        <v>3652129</v>
      </c>
      <c r="J536">
        <v>-11.24</v>
      </c>
      <c r="K536" t="s">
        <v>627</v>
      </c>
    </row>
    <row r="537" spans="1:11" customFormat="1" hidden="1">
      <c r="A537">
        <v>4974</v>
      </c>
      <c r="B537" t="s">
        <v>441</v>
      </c>
      <c r="C537" s="83">
        <v>284655</v>
      </c>
      <c r="D537" s="83">
        <v>306351</v>
      </c>
      <c r="E537" s="83">
        <v>280011</v>
      </c>
      <c r="F537">
        <v>-7.08</v>
      </c>
      <c r="G537">
        <v>1.65</v>
      </c>
      <c r="H537" s="83">
        <v>2841846</v>
      </c>
      <c r="I537" s="83">
        <v>2560320</v>
      </c>
      <c r="J537">
        <v>10.99</v>
      </c>
      <c r="K537" t="s">
        <v>627</v>
      </c>
    </row>
    <row r="538" spans="1:11" customFormat="1" hidden="1">
      <c r="A538">
        <v>3221</v>
      </c>
      <c r="B538" t="s">
        <v>841</v>
      </c>
      <c r="C538" s="83">
        <v>141597</v>
      </c>
      <c r="D538" s="83">
        <v>145185</v>
      </c>
      <c r="E538" s="83">
        <v>147480</v>
      </c>
      <c r="F538">
        <v>-2.4700000000000002</v>
      </c>
      <c r="G538">
        <v>-3.98</v>
      </c>
      <c r="H538" s="83">
        <v>1227673</v>
      </c>
      <c r="I538" s="83">
        <v>1295036</v>
      </c>
      <c r="J538">
        <v>-5.2</v>
      </c>
      <c r="K538" t="s">
        <v>627</v>
      </c>
    </row>
    <row r="539" spans="1:11" customFormat="1" hidden="1">
      <c r="A539">
        <v>3219</v>
      </c>
      <c r="B539" t="s">
        <v>728</v>
      </c>
      <c r="C539" s="83">
        <v>13776</v>
      </c>
      <c r="D539" s="83">
        <v>18853</v>
      </c>
      <c r="E539" s="83">
        <v>28370</v>
      </c>
      <c r="F539">
        <v>-26.92</v>
      </c>
      <c r="G539">
        <v>-51.44</v>
      </c>
      <c r="H539" s="83">
        <v>139559</v>
      </c>
      <c r="I539" s="83">
        <v>181213</v>
      </c>
      <c r="J539">
        <v>-22.98</v>
      </c>
      <c r="K539" t="s">
        <v>729</v>
      </c>
    </row>
    <row r="540" spans="1:11" customFormat="1" hidden="1">
      <c r="A540">
        <v>3289</v>
      </c>
      <c r="B540" t="s">
        <v>970</v>
      </c>
      <c r="C540" s="83">
        <v>172659</v>
      </c>
      <c r="D540" s="83">
        <v>188194</v>
      </c>
      <c r="E540" s="83">
        <v>167141</v>
      </c>
      <c r="F540">
        <v>-8.25</v>
      </c>
      <c r="G540">
        <v>3.3</v>
      </c>
      <c r="H540" s="83">
        <v>1514682</v>
      </c>
      <c r="I540" s="83">
        <v>1379143</v>
      </c>
      <c r="J540">
        <v>9.82</v>
      </c>
      <c r="K540" t="s">
        <v>627</v>
      </c>
    </row>
    <row r="541" spans="1:11" customFormat="1" hidden="1">
      <c r="A541">
        <v>3217</v>
      </c>
      <c r="B541" t="s">
        <v>877</v>
      </c>
      <c r="C541" s="83">
        <v>139380</v>
      </c>
      <c r="D541" s="83">
        <v>119260</v>
      </c>
      <c r="E541" s="83">
        <v>119077</v>
      </c>
      <c r="F541">
        <v>16.87</v>
      </c>
      <c r="G541">
        <v>17.05</v>
      </c>
      <c r="H541" s="83">
        <v>921180</v>
      </c>
      <c r="I541" s="83">
        <v>962141</v>
      </c>
      <c r="J541">
        <v>-4.25</v>
      </c>
      <c r="K541" t="s">
        <v>627</v>
      </c>
    </row>
    <row r="542" spans="1:11" customFormat="1" hidden="1">
      <c r="A542">
        <v>3213</v>
      </c>
      <c r="B542" t="s">
        <v>771</v>
      </c>
      <c r="C542" s="83">
        <v>217842</v>
      </c>
      <c r="D542" s="83">
        <v>249470</v>
      </c>
      <c r="E542" s="83">
        <v>248955</v>
      </c>
      <c r="F542">
        <v>-12.67</v>
      </c>
      <c r="G542">
        <v>-12.49</v>
      </c>
      <c r="H542" s="83">
        <v>1584557</v>
      </c>
      <c r="I542" s="83">
        <v>1600244</v>
      </c>
      <c r="J542">
        <v>-0.98</v>
      </c>
      <c r="K542" t="s">
        <v>772</v>
      </c>
    </row>
    <row r="543" spans="1:11" customFormat="1" hidden="1">
      <c r="A543">
        <v>3211</v>
      </c>
      <c r="B543" t="s">
        <v>770</v>
      </c>
      <c r="C543" s="83">
        <v>2069519</v>
      </c>
      <c r="D543" s="83">
        <v>1815683</v>
      </c>
      <c r="E543" s="83">
        <v>2077687</v>
      </c>
      <c r="F543">
        <v>13.98</v>
      </c>
      <c r="G543">
        <v>-0.39</v>
      </c>
      <c r="H543" s="83">
        <v>15604360</v>
      </c>
      <c r="I543" s="83">
        <v>19041079</v>
      </c>
      <c r="J543">
        <v>-18.04</v>
      </c>
      <c r="K543" t="s">
        <v>627</v>
      </c>
    </row>
    <row r="544" spans="1:11" customFormat="1" hidden="1">
      <c r="A544">
        <v>3207</v>
      </c>
      <c r="B544" t="s">
        <v>340</v>
      </c>
      <c r="C544" s="83">
        <v>95722</v>
      </c>
      <c r="D544" s="83">
        <v>97524</v>
      </c>
      <c r="E544" s="83">
        <v>100898</v>
      </c>
      <c r="F544">
        <v>-1.84</v>
      </c>
      <c r="G544">
        <v>-5.12</v>
      </c>
      <c r="H544" s="83">
        <v>725878</v>
      </c>
      <c r="I544" s="83">
        <v>857265</v>
      </c>
      <c r="J544">
        <v>-15.32</v>
      </c>
      <c r="K544" t="s">
        <v>627</v>
      </c>
    </row>
    <row r="545" spans="1:11" customFormat="1" hidden="1">
      <c r="A545">
        <v>8044</v>
      </c>
      <c r="B545" t="s">
        <v>967</v>
      </c>
      <c r="C545" s="83">
        <v>1831064</v>
      </c>
      <c r="D545" s="83">
        <v>2003613</v>
      </c>
      <c r="E545" s="83">
        <v>1658343</v>
      </c>
      <c r="F545">
        <v>-8.61</v>
      </c>
      <c r="G545">
        <v>10.41</v>
      </c>
      <c r="H545" s="83">
        <v>16916365</v>
      </c>
      <c r="I545" s="83">
        <v>14602057</v>
      </c>
      <c r="J545">
        <v>15.84</v>
      </c>
      <c r="K545" t="s">
        <v>627</v>
      </c>
    </row>
    <row r="546" spans="1:11" customFormat="1" hidden="1">
      <c r="A546">
        <v>2734</v>
      </c>
      <c r="B546" t="s">
        <v>324</v>
      </c>
      <c r="C546" s="83">
        <v>157874</v>
      </c>
      <c r="D546" s="83">
        <v>174603</v>
      </c>
      <c r="E546" s="83">
        <v>108812</v>
      </c>
      <c r="F546">
        <v>-9.58</v>
      </c>
      <c r="G546">
        <v>45.08</v>
      </c>
      <c r="H546" s="83">
        <v>1390987</v>
      </c>
      <c r="I546" s="83">
        <v>1254687</v>
      </c>
      <c r="J546">
        <v>10.86</v>
      </c>
      <c r="K546" t="s">
        <v>627</v>
      </c>
    </row>
    <row r="547" spans="1:11" customFormat="1" hidden="1">
      <c r="A547">
        <v>3202</v>
      </c>
      <c r="B547" t="s">
        <v>875</v>
      </c>
      <c r="C547" s="83">
        <v>244558</v>
      </c>
      <c r="D547" s="83">
        <v>212316</v>
      </c>
      <c r="E547" s="83">
        <v>225205</v>
      </c>
      <c r="F547">
        <v>15.18</v>
      </c>
      <c r="G547">
        <v>8.59</v>
      </c>
      <c r="H547" s="83">
        <v>1654635</v>
      </c>
      <c r="I547" s="83">
        <v>1654667</v>
      </c>
      <c r="J547">
        <v>0</v>
      </c>
      <c r="K547" t="s">
        <v>627</v>
      </c>
    </row>
    <row r="548" spans="1:11" customFormat="1" hidden="1">
      <c r="A548">
        <v>4126</v>
      </c>
      <c r="B548" t="s">
        <v>407</v>
      </c>
      <c r="C548" s="83">
        <v>138906</v>
      </c>
      <c r="D548" s="83">
        <v>153765</v>
      </c>
      <c r="E548" s="83">
        <v>108030</v>
      </c>
      <c r="F548">
        <v>-9.66</v>
      </c>
      <c r="G548">
        <v>28.58</v>
      </c>
      <c r="H548" s="83">
        <v>1156693</v>
      </c>
      <c r="I548" s="83">
        <v>1111266</v>
      </c>
      <c r="J548">
        <v>4.08</v>
      </c>
      <c r="K548" t="s">
        <v>627</v>
      </c>
    </row>
    <row r="549" spans="1:11" customFormat="1" hidden="1">
      <c r="A549">
        <v>3188</v>
      </c>
      <c r="B549" t="s">
        <v>338</v>
      </c>
      <c r="C549" s="83">
        <v>19120</v>
      </c>
      <c r="D549" s="83">
        <v>16325</v>
      </c>
      <c r="E549" s="83">
        <v>14980</v>
      </c>
      <c r="F549">
        <v>17.12</v>
      </c>
      <c r="G549">
        <v>27.63</v>
      </c>
      <c r="H549" s="83">
        <v>139861</v>
      </c>
      <c r="I549" s="83">
        <v>198639</v>
      </c>
      <c r="J549">
        <v>-29.59</v>
      </c>
      <c r="K549" t="s">
        <v>627</v>
      </c>
    </row>
    <row r="550" spans="1:11" customFormat="1" hidden="1">
      <c r="A550">
        <v>3176</v>
      </c>
      <c r="B550" t="s">
        <v>337</v>
      </c>
      <c r="C550" s="83">
        <v>32341</v>
      </c>
      <c r="D550" s="83">
        <v>31921</v>
      </c>
      <c r="E550" s="83">
        <v>31096</v>
      </c>
      <c r="F550">
        <v>1.31</v>
      </c>
      <c r="G550">
        <v>4</v>
      </c>
      <c r="H550" s="83">
        <v>272014</v>
      </c>
      <c r="I550" s="83">
        <v>273789</v>
      </c>
      <c r="J550">
        <v>-0.64</v>
      </c>
      <c r="K550" t="s">
        <v>627</v>
      </c>
    </row>
    <row r="551" spans="1:11" customFormat="1" hidden="1">
      <c r="A551">
        <v>3428</v>
      </c>
      <c r="B551" t="s">
        <v>368</v>
      </c>
      <c r="C551" s="83">
        <v>201174</v>
      </c>
      <c r="D551" s="83">
        <v>224288</v>
      </c>
      <c r="E551" s="83">
        <v>124597</v>
      </c>
      <c r="F551">
        <v>-10.3</v>
      </c>
      <c r="G551">
        <v>61.45</v>
      </c>
      <c r="H551" s="83">
        <v>1375440</v>
      </c>
      <c r="I551" s="83">
        <v>1044886</v>
      </c>
      <c r="J551">
        <v>31.63</v>
      </c>
      <c r="K551" t="s">
        <v>806</v>
      </c>
    </row>
    <row r="552" spans="1:11" customFormat="1" hidden="1">
      <c r="A552">
        <v>4180</v>
      </c>
      <c r="B552" t="s">
        <v>702</v>
      </c>
      <c r="C552" s="83">
        <v>47873</v>
      </c>
      <c r="D552" s="83">
        <v>54033</v>
      </c>
      <c r="E552" s="83">
        <v>1780</v>
      </c>
      <c r="F552">
        <v>-11.4</v>
      </c>
      <c r="G552" s="113">
        <v>2589.4899999999998</v>
      </c>
      <c r="H552" s="83">
        <v>298250</v>
      </c>
      <c r="I552" s="83">
        <v>258446</v>
      </c>
      <c r="J552">
        <v>15.4</v>
      </c>
      <c r="K552" t="s">
        <v>703</v>
      </c>
    </row>
    <row r="553" spans="1:11" customFormat="1" hidden="1">
      <c r="A553">
        <v>3162</v>
      </c>
      <c r="B553" t="s">
        <v>646</v>
      </c>
      <c r="C553" s="83">
        <v>60409</v>
      </c>
      <c r="D553" s="83">
        <v>59867</v>
      </c>
      <c r="E553" s="83">
        <v>68277</v>
      </c>
      <c r="F553">
        <v>0.9</v>
      </c>
      <c r="G553">
        <v>-11.52</v>
      </c>
      <c r="H553" s="83">
        <v>598395</v>
      </c>
      <c r="I553" s="83">
        <v>587538</v>
      </c>
      <c r="J553">
        <v>1.84</v>
      </c>
      <c r="K553" t="s">
        <v>627</v>
      </c>
    </row>
    <row r="554" spans="1:11" customFormat="1" hidden="1">
      <c r="A554">
        <v>3672</v>
      </c>
      <c r="B554" t="s">
        <v>401</v>
      </c>
      <c r="C554" s="83">
        <v>73906</v>
      </c>
      <c r="D554" s="83">
        <v>83454</v>
      </c>
      <c r="E554" s="83">
        <v>61936</v>
      </c>
      <c r="F554">
        <v>-11.44</v>
      </c>
      <c r="G554">
        <v>19.32</v>
      </c>
      <c r="H554" s="83">
        <v>638020</v>
      </c>
      <c r="I554" s="83">
        <v>563395</v>
      </c>
      <c r="J554">
        <v>13.24</v>
      </c>
      <c r="K554" t="s">
        <v>627</v>
      </c>
    </row>
    <row r="555" spans="1:11" customFormat="1" hidden="1">
      <c r="A555">
        <v>3144</v>
      </c>
      <c r="B555" t="s">
        <v>335</v>
      </c>
      <c r="C555" s="83">
        <v>203491</v>
      </c>
      <c r="D555" s="83">
        <v>195923</v>
      </c>
      <c r="E555" s="83">
        <v>206627</v>
      </c>
      <c r="F555">
        <v>3.86</v>
      </c>
      <c r="G555">
        <v>-1.51</v>
      </c>
      <c r="H555" s="83">
        <v>1503216</v>
      </c>
      <c r="I555" s="83">
        <v>1461096</v>
      </c>
      <c r="J555">
        <v>2.88</v>
      </c>
      <c r="K555" t="s">
        <v>627</v>
      </c>
    </row>
    <row r="556" spans="1:11" customFormat="1" hidden="1">
      <c r="A556">
        <v>4506</v>
      </c>
      <c r="B556" t="s">
        <v>423</v>
      </c>
      <c r="C556" s="83">
        <v>308038</v>
      </c>
      <c r="D556" s="83">
        <v>349569</v>
      </c>
      <c r="E556" s="83">
        <v>290093</v>
      </c>
      <c r="F556">
        <v>-11.88</v>
      </c>
      <c r="G556">
        <v>6.18</v>
      </c>
      <c r="H556" s="83">
        <v>3312362</v>
      </c>
      <c r="I556" s="83">
        <v>2392606</v>
      </c>
      <c r="J556">
        <v>38.44</v>
      </c>
      <c r="K556" t="s">
        <v>649</v>
      </c>
    </row>
    <row r="557" spans="1:11" customFormat="1" hidden="1">
      <c r="A557">
        <v>3128</v>
      </c>
      <c r="B557" t="s">
        <v>802</v>
      </c>
      <c r="C557" s="83">
        <v>61825</v>
      </c>
      <c r="D557" s="83">
        <v>56186</v>
      </c>
      <c r="E557" s="83">
        <v>61124</v>
      </c>
      <c r="F557">
        <v>10.029999999999999</v>
      </c>
      <c r="G557">
        <v>1.1399999999999999</v>
      </c>
      <c r="H557" s="83">
        <v>546420</v>
      </c>
      <c r="I557" s="83">
        <v>593440</v>
      </c>
      <c r="J557">
        <v>-7.92</v>
      </c>
      <c r="K557" t="s">
        <v>627</v>
      </c>
    </row>
    <row r="558" spans="1:11" customFormat="1" hidden="1">
      <c r="A558">
        <v>4153</v>
      </c>
      <c r="B558" t="s">
        <v>410</v>
      </c>
      <c r="C558" s="83">
        <v>101849</v>
      </c>
      <c r="D558" s="83">
        <v>115678</v>
      </c>
      <c r="E558" s="83">
        <v>88742</v>
      </c>
      <c r="F558">
        <v>-11.95</v>
      </c>
      <c r="G558">
        <v>14.76</v>
      </c>
      <c r="H558" s="83">
        <v>1007145</v>
      </c>
      <c r="I558" s="83">
        <v>679074</v>
      </c>
      <c r="J558">
        <v>48.31</v>
      </c>
      <c r="K558" t="s">
        <v>692</v>
      </c>
    </row>
    <row r="559" spans="1:11" customFormat="1" hidden="1">
      <c r="A559">
        <v>3122</v>
      </c>
      <c r="B559" t="s">
        <v>726</v>
      </c>
      <c r="C559" s="83">
        <v>43281</v>
      </c>
      <c r="D559" s="83">
        <v>40626</v>
      </c>
      <c r="E559" s="83">
        <v>47137</v>
      </c>
      <c r="F559">
        <v>6.53</v>
      </c>
      <c r="G559">
        <v>-8.18</v>
      </c>
      <c r="H559" s="83">
        <v>391544</v>
      </c>
      <c r="I559" s="83">
        <v>394874</v>
      </c>
      <c r="J559">
        <v>-0.84</v>
      </c>
      <c r="K559" t="s">
        <v>627</v>
      </c>
    </row>
    <row r="560" spans="1:11" customFormat="1" hidden="1">
      <c r="A560">
        <v>2230</v>
      </c>
      <c r="B560" t="s">
        <v>319</v>
      </c>
      <c r="C560" s="83">
        <v>29212</v>
      </c>
      <c r="D560" s="83">
        <v>33230</v>
      </c>
      <c r="E560" s="83">
        <v>24105</v>
      </c>
      <c r="F560">
        <v>-12.09</v>
      </c>
      <c r="G560">
        <v>21.18</v>
      </c>
      <c r="H560" s="83">
        <v>278566</v>
      </c>
      <c r="I560" s="83">
        <v>261575</v>
      </c>
      <c r="J560">
        <v>6.49</v>
      </c>
      <c r="K560" t="s">
        <v>627</v>
      </c>
    </row>
    <row r="561" spans="1:11" customFormat="1" hidden="1">
      <c r="A561">
        <v>3402</v>
      </c>
      <c r="B561" t="s">
        <v>972</v>
      </c>
      <c r="C561" s="83">
        <v>191762</v>
      </c>
      <c r="D561" s="83">
        <v>218274</v>
      </c>
      <c r="E561" s="83">
        <v>158361</v>
      </c>
      <c r="F561">
        <v>-12.14</v>
      </c>
      <c r="G561">
        <v>21.09</v>
      </c>
      <c r="H561" s="83">
        <v>1789806</v>
      </c>
      <c r="I561" s="83">
        <v>1255037</v>
      </c>
      <c r="J561">
        <v>42.6</v>
      </c>
      <c r="K561" t="s">
        <v>627</v>
      </c>
    </row>
    <row r="562" spans="1:11" customFormat="1" hidden="1">
      <c r="A562">
        <v>4979</v>
      </c>
      <c r="B562" t="s">
        <v>442</v>
      </c>
      <c r="C562" s="83">
        <v>281404</v>
      </c>
      <c r="D562" s="83">
        <v>320407</v>
      </c>
      <c r="E562" s="83">
        <v>270056</v>
      </c>
      <c r="F562">
        <v>-12.17</v>
      </c>
      <c r="G562">
        <v>4.2</v>
      </c>
      <c r="H562" s="83">
        <v>3002832</v>
      </c>
      <c r="I562" s="83">
        <v>2123521</v>
      </c>
      <c r="J562">
        <v>41.4</v>
      </c>
      <c r="K562" t="s">
        <v>627</v>
      </c>
    </row>
    <row r="563" spans="1:11" customFormat="1" hidden="1">
      <c r="A563">
        <v>3105</v>
      </c>
      <c r="B563" t="s">
        <v>333</v>
      </c>
      <c r="C563" s="83">
        <v>1032788</v>
      </c>
      <c r="D563" s="83">
        <v>972818</v>
      </c>
      <c r="E563" s="83">
        <v>1068683</v>
      </c>
      <c r="F563">
        <v>6.16</v>
      </c>
      <c r="G563">
        <v>-3.35</v>
      </c>
      <c r="H563" s="83">
        <v>8817733</v>
      </c>
      <c r="I563" s="83">
        <v>7196686</v>
      </c>
      <c r="J563">
        <v>22.52</v>
      </c>
      <c r="K563" t="s">
        <v>627</v>
      </c>
    </row>
    <row r="564" spans="1:11" customFormat="1" hidden="1">
      <c r="A564">
        <v>3095</v>
      </c>
      <c r="B564" t="s">
        <v>332</v>
      </c>
      <c r="C564" s="83">
        <v>351973</v>
      </c>
      <c r="D564" s="83">
        <v>371555</v>
      </c>
      <c r="E564" s="83">
        <v>457765</v>
      </c>
      <c r="F564">
        <v>-5.27</v>
      </c>
      <c r="G564">
        <v>-23.11</v>
      </c>
      <c r="H564" s="83">
        <v>3334122</v>
      </c>
      <c r="I564" s="83">
        <v>3517508</v>
      </c>
      <c r="J564">
        <v>-5.21</v>
      </c>
      <c r="K564" t="s">
        <v>627</v>
      </c>
    </row>
    <row r="565" spans="1:11" customFormat="1" hidden="1">
      <c r="A565">
        <v>3093</v>
      </c>
      <c r="B565" t="s">
        <v>331</v>
      </c>
      <c r="C565" s="83">
        <v>66051</v>
      </c>
      <c r="D565" s="83">
        <v>67171</v>
      </c>
      <c r="E565" s="83">
        <v>102017</v>
      </c>
      <c r="F565">
        <v>-1.66</v>
      </c>
      <c r="G565">
        <v>-35.25</v>
      </c>
      <c r="H565" s="83">
        <v>654876</v>
      </c>
      <c r="I565" s="83">
        <v>683950</v>
      </c>
      <c r="J565">
        <v>-4.25</v>
      </c>
      <c r="K565" t="s">
        <v>627</v>
      </c>
    </row>
    <row r="566" spans="1:11" customFormat="1" hidden="1">
      <c r="A566">
        <v>8048</v>
      </c>
      <c r="B566" t="s">
        <v>861</v>
      </c>
      <c r="C566" s="83">
        <v>135689</v>
      </c>
      <c r="D566" s="83">
        <v>154539</v>
      </c>
      <c r="E566" s="83">
        <v>95647</v>
      </c>
      <c r="F566">
        <v>-12.19</v>
      </c>
      <c r="G566">
        <v>41.86</v>
      </c>
      <c r="H566" s="83">
        <v>1247162</v>
      </c>
      <c r="I566" s="83">
        <v>765364</v>
      </c>
      <c r="J566">
        <v>62.95</v>
      </c>
      <c r="K566" t="s">
        <v>862</v>
      </c>
    </row>
    <row r="567" spans="1:11" customFormat="1" hidden="1">
      <c r="A567">
        <v>3089</v>
      </c>
      <c r="B567" t="s">
        <v>329</v>
      </c>
      <c r="C567" s="83">
        <v>14625</v>
      </c>
      <c r="D567" s="83">
        <v>16279</v>
      </c>
      <c r="E567" s="83">
        <v>48072</v>
      </c>
      <c r="F567">
        <v>-10.16</v>
      </c>
      <c r="G567">
        <v>-69.569999999999993</v>
      </c>
      <c r="H567" s="83">
        <v>224856</v>
      </c>
      <c r="I567" s="83">
        <v>394533</v>
      </c>
      <c r="J567">
        <v>-43</v>
      </c>
      <c r="K567" t="s">
        <v>872</v>
      </c>
    </row>
    <row r="568" spans="1:11" customFormat="1" hidden="1">
      <c r="A568">
        <v>4205</v>
      </c>
      <c r="B568" t="s">
        <v>628</v>
      </c>
      <c r="C568" s="83">
        <v>102809</v>
      </c>
      <c r="D568" s="83">
        <v>118674</v>
      </c>
      <c r="E568" s="83">
        <v>96535</v>
      </c>
      <c r="F568">
        <v>-13.36</v>
      </c>
      <c r="G568">
        <v>6.49</v>
      </c>
      <c r="H568" s="83">
        <v>964075</v>
      </c>
      <c r="I568" s="83">
        <v>914985</v>
      </c>
      <c r="J568">
        <v>5.36</v>
      </c>
      <c r="K568" t="s">
        <v>627</v>
      </c>
    </row>
    <row r="569" spans="1:11" customFormat="1" hidden="1">
      <c r="A569">
        <v>3086</v>
      </c>
      <c r="B569" t="s">
        <v>1063</v>
      </c>
      <c r="C569" s="83">
        <v>29035</v>
      </c>
      <c r="D569" s="83">
        <v>35159</v>
      </c>
      <c r="E569" s="83">
        <v>27803</v>
      </c>
      <c r="F569">
        <v>-17.41</v>
      </c>
      <c r="G569">
        <v>4.43</v>
      </c>
      <c r="H569" s="83">
        <v>327982</v>
      </c>
      <c r="I569" s="83">
        <v>382953</v>
      </c>
      <c r="J569">
        <v>-14.35</v>
      </c>
      <c r="K569" t="s">
        <v>627</v>
      </c>
    </row>
    <row r="570" spans="1:11" customFormat="1" hidden="1">
      <c r="A570">
        <v>3085</v>
      </c>
      <c r="B570" t="s">
        <v>327</v>
      </c>
      <c r="C570" s="83">
        <v>22368</v>
      </c>
      <c r="D570" s="83">
        <v>23074</v>
      </c>
      <c r="E570" s="83">
        <v>24137</v>
      </c>
      <c r="F570">
        <v>-3.05</v>
      </c>
      <c r="G570">
        <v>-7.32</v>
      </c>
      <c r="H570" s="83">
        <v>246555</v>
      </c>
      <c r="I570" s="83">
        <v>262900</v>
      </c>
      <c r="J570">
        <v>-6.21</v>
      </c>
      <c r="K570" t="s">
        <v>627</v>
      </c>
    </row>
    <row r="571" spans="1:11" customFormat="1" hidden="1">
      <c r="A571">
        <v>3083</v>
      </c>
      <c r="B571" t="s">
        <v>1062</v>
      </c>
      <c r="C571" s="83">
        <v>25976</v>
      </c>
      <c r="D571" s="83">
        <v>34480</v>
      </c>
      <c r="E571" s="83">
        <v>26787</v>
      </c>
      <c r="F571">
        <v>-24.66</v>
      </c>
      <c r="G571">
        <v>-3.02</v>
      </c>
      <c r="H571" s="83">
        <v>256528</v>
      </c>
      <c r="I571" s="83">
        <v>338482</v>
      </c>
      <c r="J571">
        <v>-24.21</v>
      </c>
      <c r="K571" t="s">
        <v>627</v>
      </c>
    </row>
    <row r="572" spans="1:11" customFormat="1" hidden="1">
      <c r="A572">
        <v>8435</v>
      </c>
      <c r="B572" t="s">
        <v>564</v>
      </c>
      <c r="C572" s="83">
        <v>51999</v>
      </c>
      <c r="D572" s="83">
        <v>60339</v>
      </c>
      <c r="E572" s="83">
        <v>51413</v>
      </c>
      <c r="F572">
        <v>-13.82</v>
      </c>
      <c r="G572">
        <v>1.1299999999999999</v>
      </c>
      <c r="H572" s="83">
        <v>473243</v>
      </c>
      <c r="I572" s="83">
        <v>464864</v>
      </c>
      <c r="J572">
        <v>1.8</v>
      </c>
      <c r="K572" t="s">
        <v>627</v>
      </c>
    </row>
    <row r="573" spans="1:11" customFormat="1" hidden="1">
      <c r="A573">
        <v>3078</v>
      </c>
      <c r="B573" t="s">
        <v>871</v>
      </c>
      <c r="C573" s="83">
        <v>635594</v>
      </c>
      <c r="D573" s="83">
        <v>505957</v>
      </c>
      <c r="E573" s="83">
        <v>540989</v>
      </c>
      <c r="F573">
        <v>25.62</v>
      </c>
      <c r="G573">
        <v>17.48</v>
      </c>
      <c r="H573" s="83">
        <v>3841898</v>
      </c>
      <c r="I573" s="83">
        <v>4266370</v>
      </c>
      <c r="J573">
        <v>-9.94</v>
      </c>
      <c r="K573" t="s">
        <v>627</v>
      </c>
    </row>
    <row r="574" spans="1:11" customFormat="1" hidden="1">
      <c r="A574">
        <v>3073</v>
      </c>
      <c r="B574" t="s">
        <v>725</v>
      </c>
      <c r="C574" s="83">
        <v>2554</v>
      </c>
      <c r="D574" s="83">
        <v>3263</v>
      </c>
      <c r="E574" s="83">
        <v>3422</v>
      </c>
      <c r="F574">
        <v>-21.72</v>
      </c>
      <c r="G574">
        <v>-25.36</v>
      </c>
      <c r="H574" s="83">
        <v>32111</v>
      </c>
      <c r="I574" s="83">
        <v>58277</v>
      </c>
      <c r="J574">
        <v>-44.89</v>
      </c>
      <c r="K574" t="s">
        <v>627</v>
      </c>
    </row>
    <row r="575" spans="1:11" customFormat="1" hidden="1">
      <c r="A575">
        <v>3071</v>
      </c>
      <c r="B575" t="s">
        <v>767</v>
      </c>
      <c r="C575" s="83">
        <v>212170</v>
      </c>
      <c r="D575" s="83">
        <v>202880</v>
      </c>
      <c r="E575" s="83">
        <v>209134</v>
      </c>
      <c r="F575">
        <v>4.57</v>
      </c>
      <c r="G575">
        <v>1.45</v>
      </c>
      <c r="H575" s="83">
        <v>1794192</v>
      </c>
      <c r="I575" s="83">
        <v>1964749</v>
      </c>
      <c r="J575">
        <v>-8.68</v>
      </c>
      <c r="K575" t="s">
        <v>627</v>
      </c>
    </row>
    <row r="576" spans="1:11" customFormat="1" hidden="1">
      <c r="A576">
        <v>3068</v>
      </c>
      <c r="B576" t="s">
        <v>326</v>
      </c>
      <c r="C576" s="83">
        <v>243435</v>
      </c>
      <c r="D576" s="83">
        <v>242335</v>
      </c>
      <c r="E576" s="83">
        <v>252706</v>
      </c>
      <c r="F576">
        <v>0.45</v>
      </c>
      <c r="G576">
        <v>-3.66</v>
      </c>
      <c r="H576" s="83">
        <v>1976721</v>
      </c>
      <c r="I576" s="83">
        <v>1968126</v>
      </c>
      <c r="J576">
        <v>0.43</v>
      </c>
      <c r="K576" t="s">
        <v>627</v>
      </c>
    </row>
    <row r="577" spans="1:11" customFormat="1" hidden="1">
      <c r="A577">
        <v>3067</v>
      </c>
      <c r="B577" t="s">
        <v>325</v>
      </c>
      <c r="C577" s="83">
        <v>22722</v>
      </c>
      <c r="D577" s="83">
        <v>24487</v>
      </c>
      <c r="E577" s="83">
        <v>25084</v>
      </c>
      <c r="F577">
        <v>-7.2</v>
      </c>
      <c r="G577">
        <v>-9.41</v>
      </c>
      <c r="H577" s="83">
        <v>225707</v>
      </c>
      <c r="I577" s="83">
        <v>220864</v>
      </c>
      <c r="J577">
        <v>2.19</v>
      </c>
      <c r="K577" t="s">
        <v>627</v>
      </c>
    </row>
    <row r="578" spans="1:11" customFormat="1" hidden="1">
      <c r="A578">
        <v>3066</v>
      </c>
      <c r="B578" t="s">
        <v>801</v>
      </c>
      <c r="C578" s="83">
        <v>42737</v>
      </c>
      <c r="D578" s="83">
        <v>35405</v>
      </c>
      <c r="E578" s="83">
        <v>46512</v>
      </c>
      <c r="F578">
        <v>20.7</v>
      </c>
      <c r="G578">
        <v>-8.11</v>
      </c>
      <c r="H578" s="83">
        <v>382222</v>
      </c>
      <c r="I578" s="83">
        <v>445395</v>
      </c>
      <c r="J578">
        <v>-14.18</v>
      </c>
      <c r="K578" t="s">
        <v>627</v>
      </c>
    </row>
    <row r="579" spans="1:11" customFormat="1" hidden="1">
      <c r="A579">
        <v>3064</v>
      </c>
      <c r="B579" t="s">
        <v>1060</v>
      </c>
      <c r="C579" s="83">
        <v>30560</v>
      </c>
      <c r="D579" s="83">
        <v>5440</v>
      </c>
      <c r="E579" s="83">
        <v>5120</v>
      </c>
      <c r="F579">
        <v>461.76</v>
      </c>
      <c r="G579">
        <v>496.87</v>
      </c>
      <c r="H579" s="83">
        <v>101230</v>
      </c>
      <c r="I579" s="83">
        <v>124653</v>
      </c>
      <c r="J579">
        <v>-18.79</v>
      </c>
      <c r="K579" t="s">
        <v>1061</v>
      </c>
    </row>
    <row r="580" spans="1:11" customFormat="1" hidden="1">
      <c r="A580">
        <v>2916</v>
      </c>
      <c r="B580" t="s">
        <v>1039</v>
      </c>
      <c r="C580" s="83">
        <v>84633</v>
      </c>
      <c r="D580" s="83">
        <v>85406</v>
      </c>
      <c r="E580" s="83">
        <v>86203</v>
      </c>
      <c r="F580">
        <v>-0.9</v>
      </c>
      <c r="G580">
        <v>-1.82</v>
      </c>
      <c r="H580" s="83">
        <v>930986</v>
      </c>
      <c r="I580" s="83">
        <v>873897</v>
      </c>
      <c r="J580">
        <v>6.53</v>
      </c>
      <c r="K580" t="s">
        <v>627</v>
      </c>
    </row>
    <row r="581" spans="1:11" customFormat="1" hidden="1">
      <c r="A581">
        <v>3163</v>
      </c>
      <c r="B581" t="s">
        <v>336</v>
      </c>
      <c r="C581" s="83">
        <v>163127</v>
      </c>
      <c r="D581" s="83">
        <v>195117</v>
      </c>
      <c r="E581" s="83">
        <v>128614</v>
      </c>
      <c r="F581">
        <v>-16.39</v>
      </c>
      <c r="G581">
        <v>26.83</v>
      </c>
      <c r="H581" s="83">
        <v>1820292</v>
      </c>
      <c r="I581" s="83">
        <v>1416070</v>
      </c>
      <c r="J581">
        <v>28.54</v>
      </c>
      <c r="K581" t="s">
        <v>627</v>
      </c>
    </row>
    <row r="582" spans="1:11" customFormat="1" hidden="1">
      <c r="A582">
        <v>6417</v>
      </c>
      <c r="B582" t="s">
        <v>859</v>
      </c>
      <c r="C582" s="83">
        <v>74316</v>
      </c>
      <c r="D582" s="83">
        <v>89556</v>
      </c>
      <c r="E582" s="83">
        <v>58177</v>
      </c>
      <c r="F582">
        <v>-17.010000000000002</v>
      </c>
      <c r="G582">
        <v>27.74</v>
      </c>
      <c r="H582" s="83">
        <v>738424</v>
      </c>
      <c r="I582" s="83">
        <v>531641</v>
      </c>
      <c r="J582">
        <v>38.89</v>
      </c>
      <c r="K582" t="s">
        <v>627</v>
      </c>
    </row>
    <row r="583" spans="1:11" customFormat="1" hidden="1">
      <c r="A583">
        <v>4736</v>
      </c>
      <c r="B583" t="s">
        <v>434</v>
      </c>
      <c r="C583" s="83">
        <v>241840</v>
      </c>
      <c r="D583" s="83">
        <v>292386</v>
      </c>
      <c r="E583" s="83">
        <v>205760</v>
      </c>
      <c r="F583">
        <v>-17.28</v>
      </c>
      <c r="G583">
        <v>17.53</v>
      </c>
      <c r="H583" s="83">
        <v>1947746</v>
      </c>
      <c r="I583" s="83">
        <v>1853287</v>
      </c>
      <c r="J583">
        <v>5.09</v>
      </c>
      <c r="K583" t="s">
        <v>627</v>
      </c>
    </row>
    <row r="584" spans="1:11" customFormat="1" hidden="1">
      <c r="A584">
        <v>2719</v>
      </c>
      <c r="B584" t="s">
        <v>323</v>
      </c>
      <c r="C584" s="83">
        <v>198687</v>
      </c>
      <c r="D584" s="83">
        <v>308113</v>
      </c>
      <c r="E584" s="83">
        <v>229354</v>
      </c>
      <c r="F584">
        <v>-35.51</v>
      </c>
      <c r="G584">
        <v>-13.37</v>
      </c>
      <c r="H584" s="83">
        <v>2447680</v>
      </c>
      <c r="I584" s="83">
        <v>2505150</v>
      </c>
      <c r="J584">
        <v>-2.29</v>
      </c>
      <c r="K584" t="s">
        <v>627</v>
      </c>
    </row>
    <row r="585" spans="1:11" customFormat="1" hidden="1">
      <c r="A585">
        <v>2718</v>
      </c>
      <c r="B585" t="s">
        <v>322</v>
      </c>
      <c r="C585" s="83">
        <v>18437</v>
      </c>
      <c r="D585" s="83">
        <v>21889</v>
      </c>
      <c r="E585" s="83">
        <v>19940</v>
      </c>
      <c r="F585">
        <v>-15.77</v>
      </c>
      <c r="G585">
        <v>-7.53</v>
      </c>
      <c r="H585" s="83">
        <v>204066</v>
      </c>
      <c r="I585" s="83">
        <v>197017</v>
      </c>
      <c r="J585">
        <v>3.57</v>
      </c>
      <c r="K585" t="s">
        <v>627</v>
      </c>
    </row>
    <row r="586" spans="1:11" customFormat="1" hidden="1">
      <c r="A586">
        <v>6221</v>
      </c>
      <c r="B586" t="s">
        <v>515</v>
      </c>
      <c r="C586" s="83">
        <v>139863</v>
      </c>
      <c r="D586" s="83">
        <v>172758</v>
      </c>
      <c r="E586" s="83">
        <v>135916</v>
      </c>
      <c r="F586">
        <v>-19.04</v>
      </c>
      <c r="G586">
        <v>2.9</v>
      </c>
      <c r="H586" s="83">
        <v>1592450</v>
      </c>
      <c r="I586" s="83">
        <v>1321896</v>
      </c>
      <c r="J586">
        <v>20.46</v>
      </c>
      <c r="K586" t="s">
        <v>627</v>
      </c>
    </row>
    <row r="587" spans="1:11" customFormat="1" hidden="1">
      <c r="A587">
        <v>2636</v>
      </c>
      <c r="B587" t="s">
        <v>1022</v>
      </c>
      <c r="C587" s="83">
        <v>755570</v>
      </c>
      <c r="D587" s="83">
        <v>824120</v>
      </c>
      <c r="E587" s="83">
        <v>869216</v>
      </c>
      <c r="F587">
        <v>-8.31</v>
      </c>
      <c r="G587">
        <v>-13.07</v>
      </c>
      <c r="H587" s="83">
        <v>7380609</v>
      </c>
      <c r="I587" s="83">
        <v>7017766</v>
      </c>
      <c r="J587">
        <v>5.17</v>
      </c>
      <c r="K587" t="s">
        <v>627</v>
      </c>
    </row>
    <row r="588" spans="1:11" customFormat="1" hidden="1">
      <c r="A588">
        <v>2596</v>
      </c>
      <c r="B588" t="s">
        <v>997</v>
      </c>
      <c r="C588" s="83">
        <v>71</v>
      </c>
      <c r="D588" s="83">
        <v>394</v>
      </c>
      <c r="E588" s="83">
        <v>123665</v>
      </c>
      <c r="F588">
        <v>-81.97</v>
      </c>
      <c r="G588">
        <v>-99.94</v>
      </c>
      <c r="H588" s="83">
        <v>289327</v>
      </c>
      <c r="I588" s="83">
        <v>633362</v>
      </c>
      <c r="J588">
        <v>-54.31</v>
      </c>
      <c r="K588" t="s">
        <v>998</v>
      </c>
    </row>
    <row r="589" spans="1:11" customFormat="1" hidden="1">
      <c r="A589">
        <v>6179</v>
      </c>
      <c r="B589" t="s">
        <v>506</v>
      </c>
      <c r="C589" s="83">
        <v>102421</v>
      </c>
      <c r="D589" s="83">
        <v>127997</v>
      </c>
      <c r="E589" s="83">
        <v>72103</v>
      </c>
      <c r="F589">
        <v>-19.98</v>
      </c>
      <c r="G589">
        <v>42.04</v>
      </c>
      <c r="H589" s="83">
        <v>1103856</v>
      </c>
      <c r="I589" s="83">
        <v>341240</v>
      </c>
      <c r="J589">
        <v>223.48</v>
      </c>
      <c r="K589" t="s">
        <v>1047</v>
      </c>
    </row>
    <row r="590" spans="1:11" customFormat="1" hidden="1">
      <c r="A590">
        <v>2233</v>
      </c>
      <c r="B590" t="s">
        <v>320</v>
      </c>
      <c r="C590" s="83">
        <v>150580</v>
      </c>
      <c r="D590" s="83">
        <v>144011</v>
      </c>
      <c r="E590" s="83">
        <v>179578</v>
      </c>
      <c r="F590">
        <v>4.5599999999999996</v>
      </c>
      <c r="G590">
        <v>-16.14</v>
      </c>
      <c r="H590" s="83">
        <v>1449009</v>
      </c>
      <c r="I590" s="83">
        <v>1510968</v>
      </c>
      <c r="J590">
        <v>-4.0999999999999996</v>
      </c>
      <c r="K590" t="s">
        <v>627</v>
      </c>
    </row>
    <row r="591" spans="1:11" customFormat="1" hidden="1">
      <c r="A591">
        <v>5304</v>
      </c>
      <c r="B591" t="s">
        <v>460</v>
      </c>
      <c r="C591" s="83">
        <v>62803</v>
      </c>
      <c r="D591" s="83">
        <v>79209</v>
      </c>
      <c r="E591" s="83">
        <v>47883</v>
      </c>
      <c r="F591">
        <v>-20.71</v>
      </c>
      <c r="G591">
        <v>31.15</v>
      </c>
      <c r="H591" s="83">
        <v>624178</v>
      </c>
      <c r="I591" s="83">
        <v>536393</v>
      </c>
      <c r="J591">
        <v>16.36</v>
      </c>
      <c r="K591" t="s">
        <v>627</v>
      </c>
    </row>
    <row r="592" spans="1:11" customFormat="1" hidden="1">
      <c r="A592">
        <v>5395</v>
      </c>
      <c r="B592" t="s">
        <v>1026</v>
      </c>
      <c r="C592" s="83">
        <v>75979</v>
      </c>
      <c r="D592" s="83">
        <v>96311</v>
      </c>
      <c r="E592" s="83">
        <v>2576</v>
      </c>
      <c r="F592">
        <v>-21.11</v>
      </c>
      <c r="G592" s="113">
        <v>2849.49</v>
      </c>
      <c r="H592" s="83">
        <v>781555</v>
      </c>
      <c r="I592" s="83">
        <v>29708</v>
      </c>
      <c r="J592" s="113">
        <v>2530.7800000000002</v>
      </c>
      <c r="K592" t="s">
        <v>1027</v>
      </c>
    </row>
    <row r="593" spans="1:11" customFormat="1" hidden="1">
      <c r="A593">
        <v>3205</v>
      </c>
      <c r="B593" t="s">
        <v>339</v>
      </c>
      <c r="C593" s="83">
        <v>106359</v>
      </c>
      <c r="D593" s="83">
        <v>138751</v>
      </c>
      <c r="E593" s="83">
        <v>36224</v>
      </c>
      <c r="F593">
        <v>-23.34</v>
      </c>
      <c r="G593">
        <v>193.61</v>
      </c>
      <c r="H593" s="83">
        <v>743521</v>
      </c>
      <c r="I593" s="83">
        <v>287896</v>
      </c>
      <c r="J593">
        <v>158.26</v>
      </c>
      <c r="K593" t="s">
        <v>676</v>
      </c>
    </row>
    <row r="594" spans="1:11" customFormat="1" hidden="1">
      <c r="A594">
        <v>2064</v>
      </c>
      <c r="B594" t="s">
        <v>317</v>
      </c>
      <c r="C594" s="83">
        <v>141925</v>
      </c>
      <c r="D594" s="83">
        <v>149258</v>
      </c>
      <c r="E594" s="83">
        <v>237372</v>
      </c>
      <c r="F594">
        <v>-4.91</v>
      </c>
      <c r="G594">
        <v>-40.200000000000003</v>
      </c>
      <c r="H594" s="83">
        <v>1764408</v>
      </c>
      <c r="I594" s="83">
        <v>2091431</v>
      </c>
      <c r="J594">
        <v>-15.63</v>
      </c>
      <c r="K594" t="s">
        <v>627</v>
      </c>
    </row>
    <row r="595" spans="1:11" customFormat="1" hidden="1">
      <c r="A595">
        <v>2063</v>
      </c>
      <c r="B595" t="s">
        <v>316</v>
      </c>
      <c r="C595" s="83">
        <v>52511</v>
      </c>
      <c r="D595" s="83">
        <v>59445</v>
      </c>
      <c r="E595" s="83">
        <v>68650</v>
      </c>
      <c r="F595">
        <v>-11.66</v>
      </c>
      <c r="G595">
        <v>-23.5</v>
      </c>
      <c r="H595" s="83">
        <v>484876</v>
      </c>
      <c r="I595" s="83">
        <v>531016</v>
      </c>
      <c r="J595">
        <v>-8.68</v>
      </c>
      <c r="K595" t="s">
        <v>627</v>
      </c>
    </row>
    <row r="596" spans="1:11" customFormat="1" hidden="1">
      <c r="A596">
        <v>2061</v>
      </c>
      <c r="B596" t="s">
        <v>315</v>
      </c>
      <c r="C596" s="83">
        <v>73650</v>
      </c>
      <c r="D596" s="83">
        <v>85432</v>
      </c>
      <c r="E596" s="83">
        <v>91633</v>
      </c>
      <c r="F596">
        <v>-13.79</v>
      </c>
      <c r="G596">
        <v>-19.62</v>
      </c>
      <c r="H596" s="83">
        <v>807561</v>
      </c>
      <c r="I596" s="83">
        <v>983747</v>
      </c>
      <c r="J596">
        <v>-17.899999999999999</v>
      </c>
      <c r="K596" t="s">
        <v>627</v>
      </c>
    </row>
    <row r="597" spans="1:11" customFormat="1" hidden="1">
      <c r="A597">
        <v>2035</v>
      </c>
      <c r="B597" t="s">
        <v>716</v>
      </c>
      <c r="C597" s="83">
        <v>1084122</v>
      </c>
      <c r="D597" s="83">
        <v>937509</v>
      </c>
      <c r="E597" s="83">
        <v>1247478</v>
      </c>
      <c r="F597">
        <v>15.63</v>
      </c>
      <c r="G597">
        <v>-13.09</v>
      </c>
      <c r="H597" s="83">
        <v>9880858</v>
      </c>
      <c r="I597" s="83">
        <v>14104567</v>
      </c>
      <c r="J597">
        <v>-29.94</v>
      </c>
      <c r="K597" t="s">
        <v>627</v>
      </c>
    </row>
    <row r="598" spans="1:11" customFormat="1" hidden="1">
      <c r="A598">
        <v>1815</v>
      </c>
      <c r="B598" t="s">
        <v>870</v>
      </c>
      <c r="C598" s="83">
        <v>390110</v>
      </c>
      <c r="D598" s="83">
        <v>379335</v>
      </c>
      <c r="E598" s="83">
        <v>426017</v>
      </c>
      <c r="F598">
        <v>2.84</v>
      </c>
      <c r="G598">
        <v>-8.42</v>
      </c>
      <c r="H598" s="83">
        <v>3693274</v>
      </c>
      <c r="I598" s="83">
        <v>3465743</v>
      </c>
      <c r="J598">
        <v>6.56</v>
      </c>
      <c r="K598" t="s">
        <v>627</v>
      </c>
    </row>
    <row r="599" spans="1:11" customFormat="1" hidden="1">
      <c r="A599">
        <v>1813</v>
      </c>
      <c r="B599" t="s">
        <v>314</v>
      </c>
      <c r="C599" s="83">
        <v>29928</v>
      </c>
      <c r="D599" s="83">
        <v>31561</v>
      </c>
      <c r="E599" s="83">
        <v>30464</v>
      </c>
      <c r="F599">
        <v>-5.17</v>
      </c>
      <c r="G599">
        <v>-1.75</v>
      </c>
      <c r="H599" s="83">
        <v>303773</v>
      </c>
      <c r="I599" s="83">
        <v>291781</v>
      </c>
      <c r="J599">
        <v>4.0999999999999996</v>
      </c>
      <c r="K599" t="s">
        <v>627</v>
      </c>
    </row>
    <row r="600" spans="1:11" customFormat="1" hidden="1">
      <c r="A600">
        <v>1799</v>
      </c>
      <c r="B600" t="s">
        <v>313</v>
      </c>
      <c r="C600" s="83">
        <v>20355</v>
      </c>
      <c r="D600" s="83">
        <v>27899</v>
      </c>
      <c r="E600" s="83">
        <v>26985</v>
      </c>
      <c r="F600">
        <v>-27.04</v>
      </c>
      <c r="G600">
        <v>-24.56</v>
      </c>
      <c r="H600" s="83">
        <v>375372</v>
      </c>
      <c r="I600" s="83">
        <v>72942</v>
      </c>
      <c r="J600">
        <v>414.61</v>
      </c>
      <c r="K600" t="s">
        <v>674</v>
      </c>
    </row>
    <row r="601" spans="1:11" customFormat="1" hidden="1">
      <c r="A601">
        <v>1788</v>
      </c>
      <c r="B601" t="s">
        <v>673</v>
      </c>
      <c r="C601" s="83">
        <v>234133</v>
      </c>
      <c r="D601" s="83">
        <v>220076</v>
      </c>
      <c r="E601" s="83">
        <v>230443</v>
      </c>
      <c r="F601">
        <v>6.38</v>
      </c>
      <c r="G601">
        <v>1.6</v>
      </c>
      <c r="H601" s="83">
        <v>1994264</v>
      </c>
      <c r="I601" s="83">
        <v>1999854</v>
      </c>
      <c r="J601">
        <v>-0.27</v>
      </c>
      <c r="K601" t="s">
        <v>627</v>
      </c>
    </row>
    <row r="602" spans="1:11" customFormat="1" hidden="1">
      <c r="A602">
        <v>4413</v>
      </c>
      <c r="B602" t="s">
        <v>634</v>
      </c>
      <c r="C602" s="83">
        <v>38211</v>
      </c>
      <c r="D602" s="83">
        <v>50006</v>
      </c>
      <c r="E602" s="83">
        <v>4148</v>
      </c>
      <c r="F602">
        <v>-23.58</v>
      </c>
      <c r="G602">
        <v>821.19</v>
      </c>
      <c r="H602" s="83">
        <v>165594</v>
      </c>
      <c r="I602" s="83">
        <v>54196</v>
      </c>
      <c r="J602">
        <v>205.54</v>
      </c>
      <c r="K602" t="s">
        <v>635</v>
      </c>
    </row>
    <row r="603" spans="1:11" customFormat="1" hidden="1">
      <c r="A603">
        <v>2729</v>
      </c>
      <c r="B603" t="s">
        <v>1025</v>
      </c>
      <c r="C603" s="83">
        <v>252147</v>
      </c>
      <c r="D603" s="83">
        <v>332032</v>
      </c>
      <c r="E603" s="83">
        <v>226892</v>
      </c>
      <c r="F603">
        <v>-24.05</v>
      </c>
      <c r="G603">
        <v>11.13</v>
      </c>
      <c r="H603" s="83">
        <v>2608375</v>
      </c>
      <c r="I603" s="83">
        <v>2200615</v>
      </c>
      <c r="J603">
        <v>18.52</v>
      </c>
      <c r="K603" t="s">
        <v>627</v>
      </c>
    </row>
    <row r="604" spans="1:11" customFormat="1" hidden="1">
      <c r="A604">
        <v>1784</v>
      </c>
      <c r="B604" t="s">
        <v>672</v>
      </c>
      <c r="C604" s="83">
        <v>54328</v>
      </c>
      <c r="D604" s="83">
        <v>50827</v>
      </c>
      <c r="E604" s="83">
        <v>48624</v>
      </c>
      <c r="F604">
        <v>6.88</v>
      </c>
      <c r="G604">
        <v>11.73</v>
      </c>
      <c r="H604" s="83">
        <v>469300</v>
      </c>
      <c r="I604" s="83">
        <v>469919</v>
      </c>
      <c r="J604">
        <v>-0.13</v>
      </c>
      <c r="K604" t="s">
        <v>627</v>
      </c>
    </row>
    <row r="605" spans="1:11" customFormat="1" hidden="1">
      <c r="A605">
        <v>8923</v>
      </c>
      <c r="B605" t="s">
        <v>1076</v>
      </c>
      <c r="C605" s="83">
        <v>28752</v>
      </c>
      <c r="D605" s="83">
        <v>39742</v>
      </c>
      <c r="E605" s="83">
        <v>24497</v>
      </c>
      <c r="F605">
        <v>-27.65</v>
      </c>
      <c r="G605">
        <v>17.36</v>
      </c>
      <c r="H605" s="83">
        <v>295150</v>
      </c>
      <c r="I605" s="83">
        <v>254103</v>
      </c>
      <c r="J605">
        <v>16.149999999999999</v>
      </c>
      <c r="K605" t="s">
        <v>627</v>
      </c>
    </row>
    <row r="606" spans="1:11" customFormat="1" hidden="1">
      <c r="A606">
        <v>8091</v>
      </c>
      <c r="B606" t="s">
        <v>930</v>
      </c>
      <c r="C606" s="83">
        <v>176026</v>
      </c>
      <c r="D606" s="83">
        <v>246953</v>
      </c>
      <c r="E606" s="83">
        <v>101018</v>
      </c>
      <c r="F606">
        <v>-28.72</v>
      </c>
      <c r="G606">
        <v>74.25</v>
      </c>
      <c r="H606" s="83">
        <v>1606843</v>
      </c>
      <c r="I606" s="83">
        <v>953299</v>
      </c>
      <c r="J606">
        <v>68.55</v>
      </c>
      <c r="K606" t="s">
        <v>931</v>
      </c>
    </row>
    <row r="607" spans="1:11" customFormat="1" hidden="1">
      <c r="A607">
        <v>1752</v>
      </c>
      <c r="B607" t="s">
        <v>310</v>
      </c>
      <c r="C607" s="83">
        <v>111269</v>
      </c>
      <c r="D607" s="83">
        <v>122585</v>
      </c>
      <c r="E607" s="83">
        <v>123526</v>
      </c>
      <c r="F607">
        <v>-9.23</v>
      </c>
      <c r="G607">
        <v>-9.92</v>
      </c>
      <c r="H607" s="83">
        <v>1109192</v>
      </c>
      <c r="I607" s="83">
        <v>917875</v>
      </c>
      <c r="J607">
        <v>20.84</v>
      </c>
      <c r="K607" t="s">
        <v>627</v>
      </c>
    </row>
    <row r="608" spans="1:11" customFormat="1" hidden="1">
      <c r="A608">
        <v>1742</v>
      </c>
      <c r="B608" t="s">
        <v>663</v>
      </c>
      <c r="C608" s="83">
        <v>62294</v>
      </c>
      <c r="D608" s="83">
        <v>42016</v>
      </c>
      <c r="E608" s="83">
        <v>138637</v>
      </c>
      <c r="F608">
        <v>48.26</v>
      </c>
      <c r="G608">
        <v>-55.06</v>
      </c>
      <c r="H608" s="83">
        <v>478786</v>
      </c>
      <c r="I608" s="83">
        <v>1013467</v>
      </c>
      <c r="J608">
        <v>-52.75</v>
      </c>
      <c r="K608" t="s">
        <v>664</v>
      </c>
    </row>
    <row r="609" spans="1:11" customFormat="1" hidden="1">
      <c r="A609">
        <v>6023</v>
      </c>
      <c r="B609" t="s">
        <v>1038</v>
      </c>
      <c r="C609" s="83">
        <v>252328</v>
      </c>
      <c r="D609" s="83">
        <v>362965</v>
      </c>
      <c r="E609" s="83">
        <v>214741</v>
      </c>
      <c r="F609">
        <v>-30.48</v>
      </c>
      <c r="G609">
        <v>17.5</v>
      </c>
      <c r="H609" s="83">
        <v>2143658</v>
      </c>
      <c r="I609" s="83">
        <v>1602503</v>
      </c>
      <c r="J609">
        <v>33.76</v>
      </c>
      <c r="K609" t="s">
        <v>627</v>
      </c>
    </row>
    <row r="610" spans="1:11" customFormat="1" hidden="1">
      <c r="A610">
        <v>1597</v>
      </c>
      <c r="B610" t="s">
        <v>309</v>
      </c>
      <c r="C610" s="83">
        <v>82773</v>
      </c>
      <c r="D610" s="83">
        <v>73333</v>
      </c>
      <c r="E610" s="83">
        <v>74944</v>
      </c>
      <c r="F610">
        <v>12.87</v>
      </c>
      <c r="G610">
        <v>10.44</v>
      </c>
      <c r="H610" s="83">
        <v>766473</v>
      </c>
      <c r="I610" s="83">
        <v>778171</v>
      </c>
      <c r="J610">
        <v>-1.5</v>
      </c>
      <c r="K610" t="s">
        <v>627</v>
      </c>
    </row>
    <row r="611" spans="1:11" customFormat="1" hidden="1">
      <c r="A611">
        <v>1595</v>
      </c>
      <c r="B611" t="s">
        <v>869</v>
      </c>
      <c r="C611" s="83">
        <v>77604</v>
      </c>
      <c r="D611" s="83">
        <v>94081</v>
      </c>
      <c r="E611" s="83">
        <v>122207</v>
      </c>
      <c r="F611">
        <v>-17.510000000000002</v>
      </c>
      <c r="G611">
        <v>-36.49</v>
      </c>
      <c r="H611" s="83">
        <v>945636</v>
      </c>
      <c r="I611" s="83">
        <v>1095869</v>
      </c>
      <c r="J611">
        <v>-13.7</v>
      </c>
      <c r="K611" t="s">
        <v>627</v>
      </c>
    </row>
    <row r="612" spans="1:11" customFormat="1" hidden="1">
      <c r="A612">
        <v>1593</v>
      </c>
      <c r="B612" t="s">
        <v>308</v>
      </c>
      <c r="C612" s="83">
        <v>71216</v>
      </c>
      <c r="D612" s="83">
        <v>79629</v>
      </c>
      <c r="E612" s="83">
        <v>91137</v>
      </c>
      <c r="F612">
        <v>-10.56</v>
      </c>
      <c r="G612">
        <v>-21.85</v>
      </c>
      <c r="H612" s="83">
        <v>622561</v>
      </c>
      <c r="I612" s="83">
        <v>661434</v>
      </c>
      <c r="J612">
        <v>-5.87</v>
      </c>
      <c r="K612" t="s">
        <v>627</v>
      </c>
    </row>
    <row r="613" spans="1:11" customFormat="1" hidden="1">
      <c r="A613">
        <v>1586</v>
      </c>
      <c r="B613" t="s">
        <v>645</v>
      </c>
      <c r="C613" s="83">
        <v>120813</v>
      </c>
      <c r="D613" s="83">
        <v>121169</v>
      </c>
      <c r="E613" s="83">
        <v>151588</v>
      </c>
      <c r="F613">
        <v>-0.28999999999999998</v>
      </c>
      <c r="G613">
        <v>-20.3</v>
      </c>
      <c r="H613" s="83">
        <v>1202398</v>
      </c>
      <c r="I613" s="83">
        <v>1214747</v>
      </c>
      <c r="J613">
        <v>-1.01</v>
      </c>
      <c r="K613" t="s">
        <v>627</v>
      </c>
    </row>
    <row r="614" spans="1:11" customFormat="1" hidden="1">
      <c r="A614">
        <v>1584</v>
      </c>
      <c r="B614" t="s">
        <v>1041</v>
      </c>
      <c r="C614" s="83">
        <v>51693</v>
      </c>
      <c r="D614" s="83">
        <v>87116</v>
      </c>
      <c r="E614" s="83">
        <v>93046</v>
      </c>
      <c r="F614">
        <v>-40.659999999999997</v>
      </c>
      <c r="G614">
        <v>-44.44</v>
      </c>
      <c r="H614" s="83">
        <v>818677</v>
      </c>
      <c r="I614" s="83">
        <v>842939</v>
      </c>
      <c r="J614">
        <v>-2.87</v>
      </c>
      <c r="K614" t="s">
        <v>627</v>
      </c>
    </row>
    <row r="615" spans="1:11" customFormat="1" hidden="1">
      <c r="A615">
        <v>1580</v>
      </c>
      <c r="B615" t="s">
        <v>644</v>
      </c>
      <c r="C615" s="83">
        <v>366978</v>
      </c>
      <c r="D615" s="83">
        <v>357389</v>
      </c>
      <c r="E615" s="83">
        <v>421616</v>
      </c>
      <c r="F615">
        <v>2.68</v>
      </c>
      <c r="G615">
        <v>-12.95</v>
      </c>
      <c r="H615" s="83">
        <v>2909287</v>
      </c>
      <c r="I615" s="83">
        <v>3036361</v>
      </c>
      <c r="J615">
        <v>-4.18</v>
      </c>
      <c r="K615" t="s">
        <v>627</v>
      </c>
    </row>
    <row r="616" spans="1:11" customFormat="1" hidden="1">
      <c r="A616">
        <v>1570</v>
      </c>
      <c r="B616" t="s">
        <v>643</v>
      </c>
      <c r="C616" s="83">
        <v>53218</v>
      </c>
      <c r="D616" s="83">
        <v>67015</v>
      </c>
      <c r="E616" s="83">
        <v>53502</v>
      </c>
      <c r="F616">
        <v>-20.58</v>
      </c>
      <c r="G616">
        <v>-0.53</v>
      </c>
      <c r="H616" s="83">
        <v>550225</v>
      </c>
      <c r="I616" s="83">
        <v>429741</v>
      </c>
      <c r="J616">
        <v>28.03</v>
      </c>
      <c r="K616" t="s">
        <v>627</v>
      </c>
    </row>
    <row r="617" spans="1:11" customFormat="1" hidden="1">
      <c r="A617">
        <v>1569</v>
      </c>
      <c r="B617" t="s">
        <v>307</v>
      </c>
      <c r="C617" s="83">
        <v>239965</v>
      </c>
      <c r="D617" s="83">
        <v>190701</v>
      </c>
      <c r="E617" s="83">
        <v>220720</v>
      </c>
      <c r="F617">
        <v>25.83</v>
      </c>
      <c r="G617">
        <v>8.7100000000000009</v>
      </c>
      <c r="H617" s="83">
        <v>1679244</v>
      </c>
      <c r="I617" s="83">
        <v>1919059</v>
      </c>
      <c r="J617">
        <v>-12.49</v>
      </c>
      <c r="K617" t="s">
        <v>627</v>
      </c>
    </row>
    <row r="618" spans="1:11" customFormat="1" hidden="1">
      <c r="A618">
        <v>4105</v>
      </c>
      <c r="B618" t="s">
        <v>680</v>
      </c>
      <c r="C618" s="83">
        <v>242486</v>
      </c>
      <c r="D618" s="83">
        <v>361508</v>
      </c>
      <c r="E618" s="83">
        <v>228604</v>
      </c>
      <c r="F618">
        <v>-32.92</v>
      </c>
      <c r="G618">
        <v>6.07</v>
      </c>
      <c r="H618" s="83">
        <v>2270222</v>
      </c>
      <c r="I618" s="83">
        <v>2184589</v>
      </c>
      <c r="J618">
        <v>3.91</v>
      </c>
      <c r="K618" t="s">
        <v>627</v>
      </c>
    </row>
    <row r="619" spans="1:11" customFormat="1" hidden="1">
      <c r="A619">
        <v>5206</v>
      </c>
      <c r="B619" t="s">
        <v>447</v>
      </c>
      <c r="C619" s="83">
        <v>39323</v>
      </c>
      <c r="D619" s="83">
        <v>186437</v>
      </c>
      <c r="E619" s="83">
        <v>17585</v>
      </c>
      <c r="F619">
        <v>-78.900000000000006</v>
      </c>
      <c r="G619">
        <v>123.61</v>
      </c>
      <c r="H619" s="83">
        <v>882789</v>
      </c>
      <c r="I619" s="83">
        <v>632733</v>
      </c>
      <c r="J619">
        <v>39.51</v>
      </c>
      <c r="K619" t="s">
        <v>1002</v>
      </c>
    </row>
    <row r="620" spans="1:11" customFormat="1" hidden="1">
      <c r="A620">
        <v>1336</v>
      </c>
      <c r="B620" t="s">
        <v>305</v>
      </c>
      <c r="C620" s="83">
        <v>153681</v>
      </c>
      <c r="D620" s="83">
        <v>146153</v>
      </c>
      <c r="E620" s="83">
        <v>153403</v>
      </c>
      <c r="F620">
        <v>5.15</v>
      </c>
      <c r="G620">
        <v>0.18</v>
      </c>
      <c r="H620" s="83">
        <v>1226414</v>
      </c>
      <c r="I620" s="83">
        <v>1608014</v>
      </c>
      <c r="J620">
        <v>-23.73</v>
      </c>
      <c r="K620" t="s">
        <v>627</v>
      </c>
    </row>
    <row r="621" spans="1:11" customFormat="1" hidden="1">
      <c r="A621">
        <v>1333</v>
      </c>
      <c r="B621" t="s">
        <v>304</v>
      </c>
      <c r="C621" s="83">
        <v>76148</v>
      </c>
      <c r="D621" s="83">
        <v>79786</v>
      </c>
      <c r="E621" s="83">
        <v>98979</v>
      </c>
      <c r="F621">
        <v>-4.55</v>
      </c>
      <c r="G621">
        <v>-23.06</v>
      </c>
      <c r="H621" s="83">
        <v>659625</v>
      </c>
      <c r="I621" s="83">
        <v>885286</v>
      </c>
      <c r="J621">
        <v>-25.49</v>
      </c>
      <c r="K621" t="s">
        <v>627</v>
      </c>
    </row>
    <row r="622" spans="1:11" customFormat="1" hidden="1">
      <c r="A622">
        <v>6212</v>
      </c>
      <c r="B622" t="s">
        <v>513</v>
      </c>
      <c r="C622" s="83">
        <v>6776</v>
      </c>
      <c r="D622" s="83">
        <v>63219</v>
      </c>
      <c r="E622" s="83">
        <v>1542</v>
      </c>
      <c r="F622">
        <v>-89.28</v>
      </c>
      <c r="G622">
        <v>339.42</v>
      </c>
      <c r="H622" s="83">
        <v>1304164</v>
      </c>
      <c r="I622" s="83">
        <v>3133</v>
      </c>
      <c r="J622" s="113">
        <v>41526.68</v>
      </c>
      <c r="K622" t="s">
        <v>1018</v>
      </c>
    </row>
    <row r="623" spans="1:11" customFormat="1" hidden="1">
      <c r="A623">
        <v>3126</v>
      </c>
      <c r="B623" t="s">
        <v>768</v>
      </c>
      <c r="C623" s="83">
        <v>9923</v>
      </c>
      <c r="D623" s="83">
        <v>429419</v>
      </c>
      <c r="E623" s="83">
        <v>5281</v>
      </c>
      <c r="F623">
        <v>-97.68</v>
      </c>
      <c r="G623">
        <v>87.9</v>
      </c>
      <c r="H623" s="83">
        <v>2152099</v>
      </c>
      <c r="I623" s="83">
        <v>558054</v>
      </c>
      <c r="J623">
        <v>285.64</v>
      </c>
      <c r="K623" t="s">
        <v>769</v>
      </c>
    </row>
    <row r="624" spans="1:11" customFormat="1" hidden="1">
      <c r="C624" s="83"/>
      <c r="D624" s="83"/>
      <c r="E624" s="83"/>
      <c r="H624" s="83"/>
      <c r="I624" s="83"/>
    </row>
    <row r="625" spans="3:11" customFormat="1" hidden="1">
      <c r="C625" s="83" t="s">
        <v>624</v>
      </c>
      <c r="D625" s="83"/>
      <c r="E625" s="83"/>
      <c r="H625" s="83" t="s">
        <v>625</v>
      </c>
      <c r="I625" s="83"/>
      <c r="K625" t="s">
        <v>626</v>
      </c>
    </row>
    <row r="626" spans="3:11" customFormat="1" hidden="1"/>
    <row r="627" spans="3:11" customFormat="1" hidden="1"/>
    <row r="628" spans="3:11" customFormat="1" hidden="1"/>
    <row r="629" spans="3:11" customFormat="1" hidden="1"/>
    <row r="630" spans="3:11" customFormat="1" hidden="1"/>
    <row r="631" spans="3:11" customFormat="1" hidden="1"/>
    <row r="632" spans="3:11" customFormat="1" hidden="1"/>
    <row r="633" spans="3:11" customFormat="1" hidden="1"/>
    <row r="634" spans="3:11" customFormat="1" hidden="1"/>
    <row r="635" spans="3:11" customFormat="1" hidden="1"/>
    <row r="636" spans="3:11" customFormat="1" hidden="1"/>
    <row r="637" spans="3:11" customFormat="1" hidden="1"/>
    <row r="638" spans="3:11" customFormat="1" hidden="1"/>
    <row r="639" spans="3:11" customFormat="1" hidden="1"/>
    <row r="640" spans="3:11" customFormat="1" hidden="1"/>
    <row r="641" customFormat="1" hidden="1"/>
    <row r="642" customFormat="1" hidden="1"/>
    <row r="643" customFormat="1" hidden="1"/>
    <row r="644" customFormat="1" hidden="1"/>
    <row r="645" customFormat="1" hidden="1"/>
    <row r="646" customFormat="1" hidden="1"/>
    <row r="647" customFormat="1" hidden="1"/>
    <row r="648" customFormat="1" hidden="1"/>
    <row r="649" customFormat="1" hidden="1"/>
    <row r="650" customFormat="1" hidden="1"/>
    <row r="651" customFormat="1" hidden="1"/>
    <row r="652" customFormat="1" hidden="1"/>
    <row r="653" customFormat="1" hidden="1"/>
    <row r="654" customFormat="1" hidden="1"/>
    <row r="655" customFormat="1" hidden="1"/>
    <row r="656" customFormat="1" hidden="1"/>
    <row r="657" customFormat="1" hidden="1"/>
    <row r="658" customFormat="1" hidden="1"/>
    <row r="659" customFormat="1" hidden="1"/>
    <row r="660" customFormat="1" hidden="1"/>
    <row r="661" customFormat="1" hidden="1"/>
    <row r="662" customFormat="1" hidden="1"/>
    <row r="663" customFormat="1" hidden="1"/>
    <row r="664" customFormat="1" hidden="1"/>
    <row r="665" customFormat="1" hidden="1"/>
    <row r="666" customFormat="1" hidden="1"/>
    <row r="667" customFormat="1" hidden="1"/>
    <row r="668" customFormat="1" hidden="1"/>
    <row r="669" customFormat="1" hidden="1"/>
    <row r="670" customFormat="1" hidden="1"/>
    <row r="671" customFormat="1" hidden="1"/>
    <row r="672" customFormat="1" hidden="1"/>
    <row r="673" customFormat="1" hidden="1"/>
    <row r="674" customFormat="1" hidden="1"/>
    <row r="675" customFormat="1" hidden="1"/>
    <row r="676" customFormat="1" hidden="1"/>
    <row r="677" customFormat="1" hidden="1"/>
    <row r="678" customFormat="1" hidden="1"/>
    <row r="679" customFormat="1" hidden="1"/>
    <row r="680" customFormat="1" hidden="1"/>
    <row r="681" customFormat="1" hidden="1"/>
    <row r="682" customFormat="1" hidden="1"/>
    <row r="683" customFormat="1" hidden="1"/>
    <row r="684" customFormat="1" hidden="1"/>
    <row r="685" customFormat="1" hidden="1"/>
    <row r="686" customFormat="1" hidden="1"/>
    <row r="687" customFormat="1" hidden="1"/>
    <row r="688" customFormat="1" hidden="1"/>
    <row r="689" customFormat="1" hidden="1"/>
    <row r="690" customFormat="1" hidden="1"/>
    <row r="691" customFormat="1" hidden="1"/>
    <row r="692" customFormat="1" hidden="1"/>
    <row r="693" customFormat="1" hidden="1"/>
    <row r="694" customFormat="1" hidden="1"/>
    <row r="695" customFormat="1" hidden="1"/>
    <row r="696" customFormat="1" hidden="1"/>
    <row r="697" customFormat="1" hidden="1"/>
    <row r="698" customFormat="1" hidden="1"/>
    <row r="699" customFormat="1" hidden="1"/>
    <row r="700" customFormat="1" hidden="1"/>
    <row r="701" customFormat="1" hidden="1"/>
    <row r="702" customFormat="1" hidden="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row r="3161" customFormat="1"/>
    <row r="3162" customFormat="1"/>
    <row r="3163" customFormat="1"/>
    <row r="3164" customFormat="1"/>
    <row r="3165" customFormat="1"/>
    <row r="3166" customFormat="1"/>
    <row r="3167" customFormat="1"/>
    <row r="3168" customFormat="1"/>
    <row r="3169" customFormat="1"/>
    <row r="3170" customFormat="1"/>
    <row r="3171" customFormat="1"/>
    <row r="3172" customFormat="1"/>
    <row r="3173" customFormat="1"/>
    <row r="3174" customFormat="1"/>
    <row r="3175" customFormat="1"/>
    <row r="3176" customFormat="1"/>
    <row r="3177" customFormat="1"/>
    <row r="3178" customFormat="1"/>
    <row r="3179" customFormat="1"/>
    <row r="3180" customFormat="1"/>
    <row r="3181" customFormat="1"/>
    <row r="3182" customFormat="1"/>
    <row r="3183" customFormat="1"/>
    <row r="3184" customFormat="1"/>
    <row r="3185" customFormat="1"/>
    <row r="3186" customFormat="1"/>
    <row r="3187" customFormat="1"/>
    <row r="3188" customFormat="1"/>
    <row r="3189" customFormat="1"/>
    <row r="3190" customFormat="1"/>
    <row r="3191" customFormat="1"/>
    <row r="3192" customFormat="1"/>
    <row r="3193" customFormat="1"/>
    <row r="3194" customFormat="1"/>
    <row r="3195" customFormat="1"/>
    <row r="3196" customFormat="1"/>
    <row r="3197" customFormat="1"/>
    <row r="3198" customFormat="1"/>
    <row r="3199" customFormat="1"/>
    <row r="3200" customFormat="1"/>
    <row r="3201" customFormat="1"/>
    <row r="3202" customFormat="1"/>
    <row r="3203" customFormat="1"/>
    <row r="3204" customFormat="1"/>
    <row r="3205" customFormat="1"/>
    <row r="3206" customFormat="1"/>
    <row r="3207" customFormat="1"/>
    <row r="3208" customFormat="1"/>
    <row r="3209" customFormat="1"/>
    <row r="3210" customFormat="1"/>
    <row r="3211" customFormat="1"/>
    <row r="3212" customFormat="1"/>
    <row r="3213" customFormat="1"/>
    <row r="3214" customFormat="1"/>
    <row r="3215" customFormat="1"/>
    <row r="3216" customFormat="1"/>
    <row r="3217" customFormat="1"/>
    <row r="3218" customFormat="1"/>
    <row r="3219" customFormat="1"/>
    <row r="3220" customFormat="1"/>
    <row r="3221" customFormat="1"/>
    <row r="3222" customFormat="1"/>
    <row r="3223" customFormat="1"/>
    <row r="3224" customFormat="1"/>
    <row r="3225" customFormat="1"/>
    <row r="3226" customFormat="1"/>
    <row r="3227" customFormat="1"/>
    <row r="3228" customFormat="1"/>
    <row r="3229" customFormat="1"/>
    <row r="3230" customFormat="1"/>
    <row r="3231" customFormat="1"/>
    <row r="3232" customFormat="1"/>
    <row r="3233" customFormat="1"/>
    <row r="3234" customFormat="1"/>
    <row r="3235" customFormat="1"/>
    <row r="3236" customFormat="1"/>
    <row r="3237" customFormat="1"/>
    <row r="3238" customFormat="1"/>
    <row r="3239" customFormat="1"/>
    <row r="3240" customFormat="1"/>
    <row r="3241" customFormat="1"/>
    <row r="3242" customFormat="1"/>
    <row r="3243" customFormat="1"/>
    <row r="3244" customFormat="1"/>
    <row r="3245" customFormat="1"/>
    <row r="3246" customFormat="1"/>
    <row r="3247" customFormat="1"/>
    <row r="3248" customFormat="1"/>
    <row r="3249" customFormat="1"/>
    <row r="3250" customFormat="1"/>
    <row r="3251" customFormat="1"/>
    <row r="3252" customFormat="1"/>
    <row r="3253" customFormat="1"/>
    <row r="3254" customFormat="1"/>
    <row r="3255" customFormat="1"/>
    <row r="3256" customFormat="1"/>
    <row r="3257" customFormat="1"/>
    <row r="3258" customFormat="1"/>
    <row r="3259" customFormat="1"/>
    <row r="3260" customFormat="1"/>
    <row r="3261" customFormat="1"/>
    <row r="3262" customFormat="1"/>
    <row r="3263" customFormat="1"/>
    <row r="3264" customFormat="1"/>
    <row r="3265" customFormat="1"/>
    <row r="3266" customFormat="1"/>
    <row r="3267" customFormat="1"/>
    <row r="3268" customFormat="1"/>
    <row r="3269" customFormat="1"/>
    <row r="3270" customFormat="1"/>
    <row r="3271" customFormat="1"/>
    <row r="3272" customFormat="1"/>
    <row r="3273" customFormat="1"/>
    <row r="3274" customFormat="1"/>
    <row r="3275" customFormat="1"/>
    <row r="3276" customFormat="1"/>
    <row r="3277" customFormat="1"/>
    <row r="3278" customFormat="1"/>
    <row r="3279" customFormat="1"/>
    <row r="3280" customFormat="1"/>
    <row r="3281" customFormat="1"/>
    <row r="3282" customFormat="1"/>
    <row r="3283" customFormat="1"/>
    <row r="3284" customFormat="1"/>
    <row r="3285" customFormat="1"/>
    <row r="3286" customFormat="1"/>
    <row r="3287" customFormat="1"/>
    <row r="3288" customFormat="1"/>
    <row r="3289" customFormat="1"/>
    <row r="3290" customFormat="1"/>
    <row r="3291" customFormat="1"/>
    <row r="3292" customFormat="1"/>
    <row r="3293" customFormat="1"/>
    <row r="3294" customFormat="1"/>
    <row r="3295" customFormat="1"/>
    <row r="3296" customFormat="1"/>
    <row r="3297" customFormat="1"/>
    <row r="3298" customFormat="1"/>
    <row r="3299" customFormat="1"/>
    <row r="3300" customFormat="1"/>
    <row r="3301" customFormat="1"/>
    <row r="3302" customFormat="1"/>
    <row r="3303" customFormat="1"/>
    <row r="3304" customFormat="1"/>
    <row r="3305" customFormat="1"/>
    <row r="3306" customFormat="1"/>
    <row r="3307" customFormat="1"/>
    <row r="3308" customFormat="1"/>
    <row r="3309" customFormat="1"/>
    <row r="3310" customFormat="1"/>
    <row r="3311" customFormat="1"/>
    <row r="3312" customFormat="1"/>
    <row r="3313" customFormat="1"/>
    <row r="3314" customFormat="1"/>
    <row r="3315" customFormat="1"/>
    <row r="3316" customFormat="1"/>
    <row r="3317" customFormat="1"/>
    <row r="3318" customFormat="1"/>
    <row r="3319" customFormat="1"/>
    <row r="3320" customFormat="1"/>
    <row r="3321" customFormat="1"/>
    <row r="3322" customFormat="1"/>
    <row r="3323" customFormat="1"/>
    <row r="3324" customFormat="1"/>
    <row r="3325" customFormat="1"/>
    <row r="3326" customFormat="1"/>
    <row r="3327" customFormat="1"/>
    <row r="3328" customFormat="1"/>
    <row r="3329" customFormat="1"/>
    <row r="3330" customFormat="1"/>
    <row r="3331" customFormat="1"/>
    <row r="3332" customFormat="1"/>
    <row r="3333" customFormat="1"/>
    <row r="3334" customFormat="1"/>
    <row r="3335" customFormat="1"/>
    <row r="3336" customFormat="1"/>
    <row r="3337" customFormat="1"/>
    <row r="3338" customFormat="1"/>
    <row r="3339" customFormat="1"/>
    <row r="3340" customFormat="1"/>
    <row r="3341" customFormat="1"/>
    <row r="3342" customFormat="1"/>
    <row r="3343" customFormat="1"/>
    <row r="3344" customFormat="1"/>
    <row r="3345" customFormat="1"/>
    <row r="3346" customFormat="1"/>
    <row r="3347" customFormat="1"/>
    <row r="3348" customFormat="1"/>
    <row r="3349" customFormat="1"/>
    <row r="3350" customFormat="1"/>
    <row r="3351" customFormat="1"/>
    <row r="3352" customFormat="1"/>
    <row r="3353" customFormat="1"/>
    <row r="3354" customFormat="1"/>
    <row r="3355" customFormat="1"/>
    <row r="3356" customFormat="1"/>
    <row r="3357" customFormat="1"/>
    <row r="3358" customFormat="1"/>
    <row r="3359" customFormat="1"/>
    <row r="3360" customFormat="1"/>
    <row r="3361" customFormat="1"/>
    <row r="3362" customFormat="1"/>
    <row r="3363" customFormat="1"/>
    <row r="3364" customFormat="1"/>
    <row r="3365" customFormat="1"/>
    <row r="3366" customFormat="1"/>
    <row r="3367" customFormat="1"/>
    <row r="3368" customFormat="1"/>
    <row r="3369" customFormat="1"/>
    <row r="3370" customFormat="1"/>
    <row r="3371" customFormat="1"/>
    <row r="3372" customFormat="1"/>
    <row r="3373" customFormat="1"/>
    <row r="3374" customFormat="1"/>
    <row r="3375" customFormat="1"/>
    <row r="3376" customFormat="1"/>
    <row r="3377" customFormat="1"/>
    <row r="3378" customFormat="1"/>
    <row r="3379" customFormat="1"/>
    <row r="3380" customFormat="1"/>
    <row r="3381" customFormat="1"/>
    <row r="3382" customFormat="1"/>
    <row r="3383" customFormat="1"/>
    <row r="3384" customFormat="1"/>
    <row r="3385" customFormat="1"/>
    <row r="3386" customFormat="1"/>
    <row r="3387" customFormat="1"/>
    <row r="3388" customFormat="1"/>
    <row r="3389" customFormat="1"/>
    <row r="3390" customFormat="1"/>
    <row r="3391" customFormat="1"/>
    <row r="3392" customFormat="1"/>
    <row r="3393" customFormat="1"/>
    <row r="3394" customFormat="1"/>
    <row r="3395" customFormat="1"/>
    <row r="3396" customFormat="1"/>
    <row r="3397" customFormat="1"/>
    <row r="3398" customFormat="1"/>
    <row r="3399" customFormat="1"/>
    <row r="3400" customFormat="1"/>
    <row r="3401" customFormat="1"/>
    <row r="3402" customFormat="1"/>
    <row r="3403" customFormat="1"/>
    <row r="3404" customFormat="1"/>
    <row r="3405" customFormat="1"/>
    <row r="3406" customFormat="1"/>
    <row r="3407" customFormat="1"/>
    <row r="3408" customFormat="1"/>
    <row r="3409" customFormat="1"/>
    <row r="3410" customFormat="1"/>
    <row r="3411" customFormat="1"/>
    <row r="3412" customFormat="1"/>
    <row r="3413" customFormat="1"/>
    <row r="3414" customFormat="1"/>
    <row r="3415" customFormat="1"/>
    <row r="3416" customFormat="1"/>
    <row r="3417" customFormat="1"/>
    <row r="3418" customFormat="1"/>
    <row r="3419" customFormat="1"/>
    <row r="3420" customFormat="1"/>
    <row r="3421" customFormat="1"/>
    <row r="3422" customFormat="1"/>
    <row r="3423" customFormat="1"/>
    <row r="3424" customFormat="1"/>
    <row r="3425" customFormat="1"/>
    <row r="3426" customFormat="1"/>
    <row r="3427" customFormat="1"/>
    <row r="3428" customFormat="1"/>
    <row r="3429" customFormat="1"/>
    <row r="3430" customFormat="1"/>
    <row r="3431" customFormat="1"/>
    <row r="3432" customFormat="1"/>
    <row r="3433" customFormat="1"/>
    <row r="3434" customFormat="1"/>
    <row r="3435" customFormat="1"/>
    <row r="3436" customFormat="1"/>
    <row r="3437" customFormat="1"/>
    <row r="3438" customFormat="1"/>
    <row r="3439" customFormat="1"/>
    <row r="3440" customFormat="1"/>
    <row r="3441" customFormat="1"/>
    <row r="3442" customFormat="1"/>
    <row r="3443" customFormat="1"/>
    <row r="3444" customFormat="1"/>
    <row r="3445" customFormat="1"/>
    <row r="3446" customFormat="1"/>
    <row r="3447" customFormat="1"/>
    <row r="3448" customFormat="1"/>
    <row r="3449" customFormat="1"/>
    <row r="3450" customFormat="1"/>
    <row r="3451" customFormat="1"/>
    <row r="3452" customFormat="1"/>
    <row r="3453" customFormat="1"/>
    <row r="3454" customFormat="1"/>
    <row r="3455" customFormat="1"/>
    <row r="3456" customFormat="1"/>
    <row r="3457" customFormat="1"/>
    <row r="3458" customFormat="1"/>
    <row r="3459" customFormat="1"/>
    <row r="3460" customFormat="1"/>
    <row r="3461" customFormat="1"/>
    <row r="3462" customFormat="1"/>
    <row r="3463" customFormat="1"/>
    <row r="3464" customFormat="1"/>
    <row r="3465" customFormat="1"/>
    <row r="3466" customFormat="1"/>
    <row r="3467" customFormat="1"/>
    <row r="3468" customFormat="1"/>
    <row r="3469" customFormat="1"/>
    <row r="3470" customFormat="1"/>
    <row r="3471" customFormat="1"/>
    <row r="3472" customFormat="1"/>
    <row r="3473" customFormat="1"/>
    <row r="3474" customFormat="1"/>
    <row r="3475" customFormat="1"/>
    <row r="3476" customFormat="1"/>
    <row r="3477" customFormat="1"/>
    <row r="3478" customFormat="1"/>
    <row r="3479" customFormat="1"/>
    <row r="3480" customFormat="1"/>
    <row r="3481" customFormat="1"/>
    <row r="3482" customFormat="1"/>
    <row r="3483" customFormat="1"/>
    <row r="3484" customFormat="1"/>
    <row r="3485" customFormat="1"/>
    <row r="3486" customFormat="1"/>
    <row r="3487" customFormat="1"/>
    <row r="3488" customFormat="1"/>
    <row r="3489" customFormat="1"/>
    <row r="3490" customFormat="1"/>
    <row r="3491" customFormat="1"/>
    <row r="3492" customFormat="1"/>
    <row r="3493" customFormat="1"/>
    <row r="3494" customFormat="1"/>
    <row r="3495" customFormat="1"/>
    <row r="3496" customFormat="1"/>
    <row r="3497" customFormat="1"/>
    <row r="3498" customFormat="1"/>
    <row r="3499" customFormat="1"/>
    <row r="3500" customFormat="1"/>
    <row r="3501" customFormat="1"/>
    <row r="3502" customFormat="1"/>
    <row r="3503" customFormat="1"/>
    <row r="3504" customFormat="1"/>
    <row r="3505" customFormat="1"/>
    <row r="3506" customFormat="1"/>
    <row r="3507" customFormat="1"/>
    <row r="3508" customFormat="1"/>
    <row r="3509" customFormat="1"/>
    <row r="3510" customFormat="1"/>
    <row r="3511" customFormat="1"/>
    <row r="3512" customFormat="1"/>
    <row r="3513" customFormat="1"/>
    <row r="3514" customFormat="1"/>
    <row r="3515" customFormat="1"/>
    <row r="3516" customFormat="1"/>
    <row r="3517" customFormat="1"/>
    <row r="3518" customFormat="1"/>
    <row r="3519" customFormat="1"/>
    <row r="3520" customFormat="1"/>
    <row r="3521" customFormat="1"/>
    <row r="3522" customFormat="1"/>
    <row r="3523" customFormat="1"/>
    <row r="3524" customFormat="1"/>
    <row r="3525" customFormat="1"/>
    <row r="3526" customFormat="1"/>
    <row r="3527" customFormat="1"/>
    <row r="3528" customFormat="1"/>
    <row r="3529" customFormat="1"/>
    <row r="3530" customFormat="1"/>
    <row r="3531" customFormat="1"/>
    <row r="3532" customFormat="1"/>
    <row r="3533" customFormat="1"/>
    <row r="3534" customFormat="1"/>
    <row r="3535" customFormat="1"/>
    <row r="3536" customFormat="1"/>
    <row r="3537" customFormat="1"/>
    <row r="3538" customFormat="1"/>
    <row r="3539" customFormat="1"/>
    <row r="3540" customFormat="1"/>
    <row r="3541" customFormat="1"/>
    <row r="3542" customFormat="1"/>
    <row r="3543" customFormat="1"/>
    <row r="3544" customFormat="1"/>
    <row r="3545" customFormat="1"/>
    <row r="3546" customFormat="1"/>
    <row r="3547" customFormat="1"/>
    <row r="3548" customFormat="1"/>
    <row r="3549" customFormat="1"/>
    <row r="3550" customFormat="1"/>
    <row r="3551" customFormat="1"/>
    <row r="3552" customFormat="1"/>
    <row r="3553" customFormat="1"/>
    <row r="3554" customFormat="1"/>
    <row r="3555" customFormat="1"/>
    <row r="3556" customFormat="1"/>
    <row r="3557" customFormat="1"/>
    <row r="3558" customFormat="1"/>
    <row r="3559" customFormat="1"/>
    <row r="3560" customFormat="1"/>
    <row r="3561" customFormat="1"/>
    <row r="3562" customFormat="1"/>
    <row r="3563" customFormat="1"/>
    <row r="3564" customFormat="1"/>
    <row r="3565" customFormat="1"/>
    <row r="3566" customFormat="1"/>
    <row r="3567" customFormat="1"/>
    <row r="3568" customFormat="1"/>
    <row r="3569" customFormat="1"/>
    <row r="3570" customFormat="1"/>
    <row r="3571" customFormat="1"/>
    <row r="3572" customFormat="1"/>
    <row r="3573" customFormat="1"/>
    <row r="3574" customFormat="1"/>
    <row r="3575" customFormat="1"/>
    <row r="3576" customFormat="1"/>
    <row r="3577" customFormat="1"/>
    <row r="3578" customFormat="1"/>
    <row r="3579" customFormat="1"/>
    <row r="3580" customFormat="1"/>
    <row r="3581" customFormat="1"/>
    <row r="3582" customFormat="1"/>
    <row r="3583" customFormat="1"/>
    <row r="3584" customFormat="1"/>
    <row r="3585" customFormat="1"/>
    <row r="3586" customFormat="1"/>
    <row r="3587" customFormat="1"/>
    <row r="3588" customFormat="1"/>
    <row r="3589" customFormat="1"/>
    <row r="3590" customFormat="1"/>
    <row r="3591" customFormat="1"/>
    <row r="3592" customFormat="1"/>
    <row r="3593" customFormat="1"/>
    <row r="3594" customFormat="1"/>
    <row r="3595" customFormat="1"/>
    <row r="3596" customFormat="1"/>
    <row r="3597" customFormat="1"/>
    <row r="3598" customFormat="1"/>
    <row r="3599" customFormat="1"/>
    <row r="3600" customFormat="1"/>
    <row r="3601" customFormat="1"/>
    <row r="3602" customFormat="1"/>
    <row r="3603" customFormat="1"/>
    <row r="3604" customFormat="1"/>
    <row r="3605" customFormat="1"/>
    <row r="3606" customFormat="1"/>
    <row r="3607" customFormat="1"/>
    <row r="3608" customFormat="1"/>
    <row r="3609" customFormat="1"/>
    <row r="3610" customFormat="1"/>
    <row r="3611" customFormat="1"/>
    <row r="3612" customFormat="1"/>
    <row r="3613" customFormat="1"/>
    <row r="3614" customFormat="1"/>
    <row r="3615" customFormat="1"/>
    <row r="3616" customFormat="1"/>
    <row r="3617" customFormat="1"/>
    <row r="3618" customFormat="1"/>
    <row r="3619" customFormat="1"/>
    <row r="3620" customFormat="1"/>
    <row r="3621" customFormat="1"/>
    <row r="3622" customFormat="1"/>
    <row r="3623" customFormat="1"/>
    <row r="3624" customFormat="1"/>
    <row r="3625" customFormat="1"/>
    <row r="3626" customFormat="1"/>
    <row r="3627" customFormat="1"/>
    <row r="3628" customFormat="1"/>
    <row r="3629" customFormat="1"/>
    <row r="3630" customFormat="1"/>
    <row r="3631" customFormat="1"/>
    <row r="3632" customFormat="1"/>
    <row r="3633" customFormat="1"/>
    <row r="3634" customFormat="1"/>
    <row r="3635" customFormat="1"/>
    <row r="3636" customFormat="1"/>
    <row r="3637" customFormat="1"/>
    <row r="3638" customFormat="1"/>
    <row r="3639" customFormat="1"/>
    <row r="3640" customFormat="1"/>
    <row r="3641" customFormat="1"/>
    <row r="3642" customFormat="1"/>
    <row r="3643" customFormat="1"/>
    <row r="3644" customFormat="1"/>
    <row r="3645" customFormat="1"/>
    <row r="3646" customFormat="1"/>
    <row r="3647" customFormat="1"/>
    <row r="3648" customFormat="1"/>
    <row r="3649" customFormat="1"/>
    <row r="3650" customFormat="1"/>
    <row r="3651" customFormat="1"/>
    <row r="3652" customFormat="1"/>
    <row r="3653" customFormat="1"/>
    <row r="3654" customFormat="1"/>
    <row r="3655" customFormat="1"/>
    <row r="3656" customFormat="1"/>
    <row r="3657" customFormat="1"/>
    <row r="3658" customFormat="1"/>
    <row r="3659" customFormat="1"/>
    <row r="3660" customFormat="1"/>
    <row r="3661" customFormat="1"/>
    <row r="3662" customFormat="1"/>
    <row r="3663" customFormat="1"/>
    <row r="3664" customFormat="1"/>
    <row r="3665" customFormat="1"/>
    <row r="3666" customFormat="1"/>
    <row r="3667" customFormat="1"/>
    <row r="3668" customFormat="1"/>
    <row r="3669" customFormat="1"/>
    <row r="3670" customFormat="1"/>
    <row r="3671" customFormat="1"/>
    <row r="3672" customFormat="1"/>
    <row r="3673" customFormat="1"/>
    <row r="3674" customFormat="1"/>
    <row r="3675" customFormat="1"/>
    <row r="3676" customFormat="1"/>
    <row r="3677" customFormat="1"/>
    <row r="3678" customFormat="1"/>
    <row r="3679" customFormat="1"/>
    <row r="3680" customFormat="1"/>
    <row r="3681" customFormat="1"/>
    <row r="3682" customFormat="1"/>
    <row r="3683" customFormat="1"/>
    <row r="3684" customFormat="1"/>
    <row r="3685" customFormat="1"/>
    <row r="3686" customFormat="1"/>
    <row r="3687" customFormat="1"/>
    <row r="3688" customFormat="1"/>
    <row r="3689" customFormat="1"/>
    <row r="3690" customFormat="1"/>
    <row r="3691" customFormat="1"/>
    <row r="3692" customFormat="1"/>
    <row r="3693" customFormat="1"/>
    <row r="3694" customFormat="1"/>
    <row r="3695" customFormat="1"/>
    <row r="3696" customFormat="1"/>
    <row r="3697" customFormat="1"/>
    <row r="3698" customFormat="1"/>
    <row r="3699" customFormat="1"/>
    <row r="3700" customFormat="1"/>
    <row r="3701" customFormat="1"/>
    <row r="3702" customFormat="1"/>
    <row r="3703" customFormat="1"/>
    <row r="3704" customFormat="1"/>
    <row r="3705" customFormat="1"/>
    <row r="3706" customFormat="1"/>
    <row r="3707" customFormat="1"/>
    <row r="3708" customFormat="1"/>
    <row r="3709" customFormat="1"/>
    <row r="3710" customFormat="1"/>
    <row r="3711" customFormat="1"/>
    <row r="3712" customFormat="1"/>
    <row r="3713" customFormat="1"/>
    <row r="3714" customFormat="1"/>
    <row r="3715" customFormat="1"/>
    <row r="3716" customFormat="1"/>
    <row r="3717" customFormat="1"/>
    <row r="3718" customFormat="1"/>
    <row r="3719" customFormat="1"/>
    <row r="3720" customFormat="1"/>
    <row r="3721" customFormat="1"/>
    <row r="3722" customFormat="1"/>
    <row r="3723" customFormat="1"/>
    <row r="3724" customFormat="1"/>
    <row r="3725" customFormat="1"/>
    <row r="3726" customFormat="1"/>
    <row r="3727" customFormat="1"/>
    <row r="3728" customFormat="1"/>
    <row r="3729" customFormat="1"/>
    <row r="3730" customFormat="1"/>
    <row r="3731" customFormat="1"/>
    <row r="3732" customFormat="1"/>
    <row r="3733" customFormat="1"/>
    <row r="3734" customFormat="1"/>
    <row r="3735" customFormat="1"/>
    <row r="3736" customFormat="1"/>
    <row r="3737" customFormat="1"/>
    <row r="3738" customFormat="1"/>
    <row r="3739" customFormat="1"/>
    <row r="3740" customFormat="1"/>
    <row r="3741" customFormat="1"/>
    <row r="3742" customFormat="1"/>
    <row r="3743" customFormat="1"/>
    <row r="3744" customFormat="1"/>
    <row r="3745" customFormat="1"/>
    <row r="3746" customFormat="1"/>
    <row r="3747" customFormat="1"/>
    <row r="3748" customFormat="1"/>
    <row r="3749" customFormat="1"/>
    <row r="3750" customFormat="1"/>
    <row r="3751" customFormat="1"/>
    <row r="3752" customFormat="1"/>
    <row r="3753" customFormat="1"/>
    <row r="3754" customFormat="1"/>
    <row r="3755" customFormat="1"/>
    <row r="3756" customFormat="1"/>
    <row r="3757" customFormat="1"/>
    <row r="3758" customFormat="1"/>
    <row r="3759" customFormat="1"/>
    <row r="3760" customFormat="1"/>
    <row r="3761" customFormat="1"/>
    <row r="3762" customFormat="1"/>
    <row r="3763" customFormat="1"/>
    <row r="3764" customFormat="1"/>
    <row r="3765" customFormat="1"/>
    <row r="3766" customFormat="1"/>
    <row r="3767" customFormat="1"/>
    <row r="3768" customFormat="1"/>
    <row r="3769" customFormat="1"/>
    <row r="3770" customFormat="1"/>
    <row r="3771" customFormat="1"/>
    <row r="3772" customFormat="1"/>
    <row r="3773" customFormat="1"/>
    <row r="3774" customFormat="1"/>
    <row r="3775" customFormat="1"/>
    <row r="3776" customFormat="1"/>
    <row r="3777" customFormat="1"/>
    <row r="3778" customFormat="1"/>
    <row r="3779" customFormat="1"/>
    <row r="3780" customFormat="1"/>
    <row r="3781" customFormat="1"/>
    <row r="3782" customFormat="1"/>
    <row r="3783" customFormat="1"/>
    <row r="3784" customFormat="1"/>
    <row r="3785" customFormat="1"/>
    <row r="3786" customFormat="1"/>
    <row r="3787" customFormat="1"/>
    <row r="3788" customFormat="1"/>
    <row r="3789" customFormat="1"/>
    <row r="3790" customFormat="1"/>
    <row r="3791" customFormat="1"/>
    <row r="3792" customFormat="1"/>
    <row r="3793" customFormat="1"/>
    <row r="3794" customFormat="1"/>
    <row r="3795" customFormat="1"/>
    <row r="3796" customFormat="1"/>
    <row r="3797" customFormat="1"/>
    <row r="3798" customFormat="1"/>
    <row r="3799" customFormat="1"/>
    <row r="3800" customFormat="1"/>
    <row r="3801" customFormat="1"/>
    <row r="3802" customFormat="1"/>
    <row r="3803" customFormat="1"/>
    <row r="3804" customFormat="1"/>
    <row r="3805" customFormat="1"/>
    <row r="3806" customFormat="1"/>
    <row r="3807" customFormat="1"/>
    <row r="3808" customFormat="1"/>
    <row r="3809" customFormat="1"/>
    <row r="3810" customFormat="1"/>
    <row r="3811" customFormat="1"/>
    <row r="3812" customFormat="1"/>
    <row r="3813" customFormat="1"/>
    <row r="3814" customFormat="1"/>
    <row r="3815" customFormat="1"/>
    <row r="3816" customFormat="1"/>
    <row r="3817" customFormat="1"/>
    <row r="3818" customFormat="1"/>
    <row r="3819" customFormat="1"/>
    <row r="3820" customFormat="1"/>
    <row r="3821" customFormat="1"/>
    <row r="3822" customFormat="1"/>
    <row r="3823" customFormat="1"/>
    <row r="3824" customFormat="1"/>
    <row r="3825" customFormat="1"/>
    <row r="3826" customFormat="1"/>
    <row r="3827" customFormat="1"/>
    <row r="3828" customFormat="1"/>
    <row r="3829" customFormat="1"/>
    <row r="3830" customFormat="1"/>
    <row r="3831" customFormat="1"/>
    <row r="3832" customFormat="1"/>
    <row r="3833" customFormat="1"/>
    <row r="3834" customFormat="1"/>
    <row r="3835" customFormat="1"/>
    <row r="3836" customFormat="1"/>
    <row r="3837" customFormat="1"/>
    <row r="3838" customFormat="1"/>
    <row r="3839" customFormat="1"/>
    <row r="3840" customFormat="1"/>
    <row r="3841" customFormat="1"/>
    <row r="3842" customFormat="1"/>
    <row r="3843" customFormat="1"/>
    <row r="3844" customFormat="1"/>
    <row r="3845" customFormat="1"/>
    <row r="3846" customFormat="1"/>
    <row r="3847" customFormat="1"/>
    <row r="3848" customFormat="1"/>
    <row r="3849" customFormat="1"/>
    <row r="3850" customFormat="1"/>
    <row r="3851" customFormat="1"/>
    <row r="3852" customFormat="1"/>
    <row r="3853" customFormat="1"/>
    <row r="3854" customFormat="1"/>
    <row r="3855" customFormat="1"/>
    <row r="3856" customFormat="1"/>
    <row r="3857" customFormat="1"/>
    <row r="3858" customFormat="1"/>
    <row r="3859" customFormat="1"/>
    <row r="3860" customFormat="1"/>
    <row r="3861" customFormat="1"/>
    <row r="3862" customFormat="1"/>
    <row r="3863" customFormat="1"/>
    <row r="3864" customFormat="1"/>
    <row r="3865" customFormat="1"/>
    <row r="3866" customFormat="1"/>
    <row r="3867" customFormat="1"/>
    <row r="3868" customFormat="1"/>
    <row r="3869" customFormat="1"/>
    <row r="3870" customFormat="1"/>
    <row r="3871" customFormat="1"/>
    <row r="3872" customFormat="1"/>
    <row r="3873" customFormat="1"/>
    <row r="3874" customFormat="1"/>
    <row r="3875" customFormat="1"/>
    <row r="3876" customFormat="1"/>
    <row r="3877" customFormat="1"/>
    <row r="3878" customFormat="1"/>
    <row r="3879" customFormat="1"/>
    <row r="3880" customFormat="1"/>
    <row r="3881" customFormat="1"/>
    <row r="3882" customFormat="1"/>
    <row r="3883" customFormat="1"/>
    <row r="3884" customFormat="1"/>
    <row r="3885" customFormat="1"/>
    <row r="3886" customFormat="1"/>
    <row r="3887" customFormat="1"/>
    <row r="3888" customFormat="1"/>
    <row r="3889" customFormat="1"/>
    <row r="3890" customFormat="1"/>
    <row r="3891" customFormat="1"/>
    <row r="3892" customFormat="1"/>
    <row r="3893" customFormat="1"/>
    <row r="3894" customFormat="1"/>
    <row r="3895" customFormat="1"/>
    <row r="3896" customFormat="1"/>
    <row r="3897" customFormat="1"/>
    <row r="3898" customFormat="1"/>
    <row r="3899" customFormat="1"/>
    <row r="3900" customFormat="1"/>
    <row r="3901" customFormat="1"/>
    <row r="3902" customFormat="1"/>
    <row r="3903" customFormat="1"/>
    <row r="3904" customFormat="1"/>
    <row r="3905" customFormat="1"/>
    <row r="3906" customFormat="1"/>
    <row r="3907" customFormat="1"/>
    <row r="3908" customFormat="1"/>
    <row r="3909" customFormat="1"/>
    <row r="3910" customFormat="1"/>
    <row r="3911" customFormat="1"/>
    <row r="3912" customFormat="1"/>
    <row r="3913" customFormat="1"/>
    <row r="3914" customFormat="1"/>
    <row r="3915" customFormat="1"/>
    <row r="3916" customFormat="1"/>
    <row r="3917" customFormat="1"/>
    <row r="3918" customFormat="1"/>
    <row r="3919" customFormat="1"/>
    <row r="3920" customFormat="1"/>
    <row r="3921" customFormat="1"/>
    <row r="3922" customFormat="1"/>
    <row r="3923" customFormat="1"/>
    <row r="3924" customFormat="1"/>
    <row r="3925" customFormat="1"/>
    <row r="3926" customFormat="1"/>
    <row r="3927" customFormat="1"/>
    <row r="3928" customFormat="1"/>
    <row r="3929" customFormat="1"/>
    <row r="3930" customFormat="1"/>
    <row r="3931" customFormat="1"/>
    <row r="3932" customFormat="1"/>
    <row r="3933" customFormat="1"/>
    <row r="3934" customFormat="1"/>
    <row r="3935" customFormat="1"/>
    <row r="3936" customFormat="1"/>
    <row r="3937" customFormat="1"/>
    <row r="3938" customFormat="1"/>
    <row r="3939" customFormat="1"/>
    <row r="3940" customFormat="1"/>
    <row r="3941" customFormat="1"/>
    <row r="3942" customFormat="1"/>
    <row r="3943" customFormat="1"/>
    <row r="3944" customFormat="1"/>
    <row r="3945" customFormat="1"/>
    <row r="3946" customFormat="1"/>
    <row r="3947" customFormat="1"/>
    <row r="3948" customFormat="1"/>
    <row r="3949" customFormat="1"/>
    <row r="3950" customFormat="1"/>
    <row r="3951" customFormat="1"/>
    <row r="3952" customFormat="1"/>
    <row r="3953" customFormat="1"/>
    <row r="3954" customFormat="1"/>
    <row r="3955" customFormat="1"/>
    <row r="3956" customFormat="1"/>
    <row r="3957" customFormat="1"/>
    <row r="3958" customFormat="1"/>
    <row r="3959" customFormat="1"/>
    <row r="3960" customFormat="1"/>
    <row r="3961" customFormat="1"/>
    <row r="3962" customFormat="1"/>
    <row r="3963" customFormat="1"/>
    <row r="3964" customFormat="1"/>
    <row r="3965" customFormat="1"/>
    <row r="3966" customFormat="1"/>
    <row r="3967" customFormat="1"/>
    <row r="3968" customFormat="1"/>
    <row r="3969" customFormat="1"/>
    <row r="3970" customFormat="1"/>
    <row r="3971" customFormat="1"/>
    <row r="3972" customFormat="1"/>
    <row r="3973" customFormat="1"/>
    <row r="3974" customFormat="1"/>
    <row r="3975" customFormat="1"/>
    <row r="3976" customFormat="1"/>
    <row r="3977" customFormat="1"/>
    <row r="3978" customFormat="1"/>
    <row r="3979" customFormat="1"/>
    <row r="3980" customFormat="1"/>
    <row r="3981" customFormat="1"/>
    <row r="3982" customFormat="1"/>
    <row r="3983" customFormat="1"/>
    <row r="3984" customFormat="1"/>
    <row r="3985" customFormat="1"/>
    <row r="3986" customFormat="1"/>
    <row r="3987" customFormat="1"/>
    <row r="3988" customFormat="1"/>
    <row r="3989" customFormat="1"/>
    <row r="3990" customFormat="1"/>
    <row r="3991" customFormat="1"/>
    <row r="3992" customFormat="1"/>
    <row r="3993" customFormat="1"/>
    <row r="3994" customFormat="1"/>
    <row r="3995" customFormat="1"/>
    <row r="3996" customFormat="1"/>
    <row r="3997" customFormat="1"/>
    <row r="3998" customFormat="1"/>
    <row r="3999" customFormat="1"/>
    <row r="4000" customFormat="1"/>
    <row r="4001" customFormat="1"/>
    <row r="4002" customFormat="1"/>
    <row r="4003" customFormat="1"/>
    <row r="4004" customFormat="1"/>
    <row r="4005" customFormat="1"/>
    <row r="4006" customFormat="1"/>
    <row r="4007" customFormat="1"/>
    <row r="4008" customFormat="1"/>
    <row r="4009" customFormat="1"/>
    <row r="4010" customFormat="1"/>
    <row r="4011" customFormat="1"/>
    <row r="4012" customFormat="1"/>
    <row r="4013" customFormat="1"/>
    <row r="4014" customFormat="1"/>
    <row r="4015" customFormat="1"/>
    <row r="4016" customFormat="1"/>
    <row r="4017" customFormat="1"/>
    <row r="4018" customFormat="1"/>
    <row r="4019" customFormat="1"/>
    <row r="4020" customFormat="1"/>
    <row r="4021" customFormat="1"/>
    <row r="4022" customFormat="1"/>
    <row r="4023" customFormat="1"/>
    <row r="4024" customFormat="1"/>
    <row r="4025" customFormat="1"/>
    <row r="4026" customFormat="1"/>
    <row r="4027" customFormat="1"/>
    <row r="4028" customFormat="1"/>
    <row r="4029" customFormat="1"/>
    <row r="4030" customFormat="1"/>
    <row r="4031" customFormat="1"/>
    <row r="4032" customFormat="1"/>
    <row r="4033" customFormat="1"/>
    <row r="4034" customFormat="1"/>
    <row r="4035" customFormat="1"/>
    <row r="4036" customFormat="1"/>
    <row r="4037" customFormat="1"/>
    <row r="4038" customFormat="1"/>
    <row r="4039" customFormat="1"/>
    <row r="4040" customFormat="1"/>
    <row r="4041" customFormat="1"/>
    <row r="4042" customFormat="1"/>
    <row r="4043" customFormat="1"/>
    <row r="4044" customFormat="1"/>
    <row r="4045" customFormat="1"/>
    <row r="4046" customFormat="1"/>
    <row r="4047" customFormat="1"/>
    <row r="4048" customFormat="1"/>
    <row r="4049" customFormat="1"/>
    <row r="4050" customFormat="1"/>
    <row r="4051" customFormat="1"/>
    <row r="4052" customFormat="1"/>
    <row r="4053" customFormat="1"/>
    <row r="4054" customFormat="1"/>
    <row r="4055" customFormat="1"/>
    <row r="4056" customFormat="1"/>
    <row r="4057" customFormat="1"/>
    <row r="4058" customFormat="1"/>
    <row r="4059" customFormat="1"/>
    <row r="4060" customFormat="1"/>
    <row r="4061" customFormat="1"/>
    <row r="4062" customFormat="1"/>
    <row r="4063" customFormat="1"/>
    <row r="4064" customFormat="1"/>
    <row r="4065" customFormat="1"/>
    <row r="4066" customFormat="1"/>
    <row r="4067" customFormat="1"/>
    <row r="4068" customFormat="1"/>
    <row r="4069" customFormat="1"/>
    <row r="4070" customFormat="1"/>
    <row r="4071" customFormat="1"/>
    <row r="4072" customFormat="1"/>
    <row r="4073" customFormat="1"/>
    <row r="4074" customFormat="1"/>
    <row r="4075" customFormat="1"/>
    <row r="4076" customFormat="1"/>
    <row r="4077" customFormat="1"/>
    <row r="4078" customFormat="1"/>
    <row r="4079" customFormat="1"/>
    <row r="4080" customFormat="1"/>
    <row r="4081" customFormat="1"/>
    <row r="4082" customFormat="1"/>
    <row r="4083" customFormat="1"/>
    <row r="4084" customFormat="1"/>
    <row r="4085" customFormat="1"/>
    <row r="4086" customFormat="1"/>
    <row r="4087" customFormat="1"/>
    <row r="4088" customFormat="1"/>
    <row r="4089" customFormat="1"/>
    <row r="4090" customFormat="1"/>
    <row r="4091" customFormat="1"/>
    <row r="4092" customFormat="1"/>
    <row r="4093" customFormat="1"/>
    <row r="4094" customFormat="1"/>
    <row r="4095" customFormat="1"/>
    <row r="4096" customFormat="1"/>
    <row r="4097" customFormat="1"/>
    <row r="4098" customFormat="1"/>
    <row r="4099" customFormat="1"/>
    <row r="4100" customFormat="1"/>
    <row r="4101" customFormat="1"/>
    <row r="4102" customFormat="1"/>
    <row r="4103" customFormat="1"/>
    <row r="4104" customFormat="1"/>
    <row r="4105" customFormat="1"/>
    <row r="4106" customFormat="1"/>
    <row r="4107" customFormat="1"/>
    <row r="4108" customFormat="1"/>
    <row r="4109" customFormat="1"/>
    <row r="4110" customFormat="1"/>
    <row r="4111" customFormat="1"/>
    <row r="4112" customFormat="1"/>
    <row r="4113" customFormat="1"/>
    <row r="4114" customFormat="1"/>
    <row r="4115" customFormat="1"/>
    <row r="4116" customFormat="1"/>
    <row r="4117" customFormat="1"/>
    <row r="4118" customFormat="1"/>
    <row r="4119" customFormat="1"/>
    <row r="4120" customFormat="1"/>
    <row r="4121" customFormat="1"/>
    <row r="4122" customFormat="1"/>
    <row r="4123" customFormat="1"/>
    <row r="4124" customFormat="1"/>
    <row r="4125" customFormat="1"/>
    <row r="4126" customFormat="1"/>
    <row r="4127" customFormat="1"/>
    <row r="4128" customFormat="1"/>
    <row r="4129" customFormat="1"/>
    <row r="4130" customFormat="1"/>
    <row r="4131" customFormat="1"/>
    <row r="4132" customFormat="1"/>
    <row r="4133" customFormat="1"/>
    <row r="4134" customFormat="1"/>
    <row r="4135" customFormat="1"/>
    <row r="4136" customFormat="1"/>
    <row r="4137" customFormat="1"/>
    <row r="4138" customFormat="1"/>
    <row r="4139" customFormat="1"/>
    <row r="4140" customFormat="1"/>
    <row r="4141" customFormat="1"/>
    <row r="4142" customFormat="1"/>
    <row r="4143" customFormat="1"/>
    <row r="4144" customFormat="1"/>
    <row r="4145" customFormat="1"/>
    <row r="4146" customFormat="1"/>
    <row r="4147" customFormat="1"/>
    <row r="4148" customFormat="1"/>
    <row r="4149" customFormat="1"/>
    <row r="4150" customFormat="1"/>
    <row r="4151" customFormat="1"/>
    <row r="4152" customFormat="1"/>
    <row r="4153" customFormat="1"/>
    <row r="4154" customFormat="1"/>
    <row r="4155" customFormat="1"/>
    <row r="4156" customFormat="1"/>
    <row r="4157" customFormat="1"/>
    <row r="4158" customFormat="1"/>
    <row r="4159" customFormat="1"/>
    <row r="4160" customFormat="1"/>
    <row r="4161" customFormat="1"/>
    <row r="4162" customFormat="1"/>
    <row r="4163" customFormat="1"/>
    <row r="4164" customFormat="1"/>
    <row r="4165" customFormat="1"/>
    <row r="4166" customFormat="1"/>
    <row r="4167" customFormat="1"/>
    <row r="4168" customFormat="1"/>
    <row r="4169" customFormat="1"/>
    <row r="4170" customFormat="1"/>
    <row r="4171" customFormat="1"/>
    <row r="4172" customFormat="1"/>
    <row r="4173" customFormat="1"/>
    <row r="4174" customFormat="1"/>
    <row r="4175" customFormat="1"/>
    <row r="4176" customFormat="1"/>
    <row r="4177" customFormat="1"/>
    <row r="4178" customFormat="1"/>
    <row r="4179" customFormat="1"/>
    <row r="4180" customFormat="1"/>
    <row r="4181" customFormat="1"/>
    <row r="4182" customFormat="1"/>
    <row r="4183" customFormat="1"/>
    <row r="4184" customFormat="1"/>
    <row r="4185" customFormat="1"/>
    <row r="4186" customFormat="1"/>
    <row r="4187" customFormat="1"/>
    <row r="4188" customFormat="1"/>
    <row r="4189" customFormat="1"/>
    <row r="4190" customFormat="1"/>
    <row r="4191" customFormat="1"/>
    <row r="4192" customFormat="1"/>
    <row r="4193" customFormat="1"/>
    <row r="4194" customFormat="1"/>
    <row r="4195" customFormat="1"/>
    <row r="4196" customFormat="1"/>
    <row r="4197" customFormat="1"/>
    <row r="4198" customFormat="1"/>
    <row r="4199" customFormat="1"/>
    <row r="4200" customFormat="1"/>
    <row r="4201" customFormat="1"/>
    <row r="4202" customFormat="1"/>
    <row r="4203" customFormat="1"/>
    <row r="4204" customFormat="1"/>
    <row r="4205" customFormat="1"/>
    <row r="4206" customFormat="1"/>
    <row r="4207" customFormat="1"/>
    <row r="4208" customFormat="1"/>
    <row r="4209" customFormat="1"/>
    <row r="4210" customFormat="1"/>
    <row r="4211" customFormat="1"/>
    <row r="4212" customFormat="1"/>
    <row r="4213" customFormat="1"/>
    <row r="4214" customFormat="1"/>
    <row r="4215" customFormat="1"/>
    <row r="4216" customFormat="1"/>
    <row r="4217" customFormat="1"/>
    <row r="4218" customFormat="1"/>
    <row r="4219" customFormat="1"/>
    <row r="4220" customFormat="1"/>
    <row r="4221" customFormat="1"/>
    <row r="4222" customFormat="1"/>
    <row r="4223" customFormat="1"/>
    <row r="4224" customFormat="1"/>
    <row r="4225" customFormat="1"/>
    <row r="4226" customFormat="1"/>
    <row r="4227" customFormat="1"/>
    <row r="4228" customFormat="1"/>
    <row r="4229" customFormat="1"/>
    <row r="4230" customFormat="1"/>
    <row r="4231" customFormat="1"/>
    <row r="4232" customFormat="1"/>
    <row r="4233" customFormat="1"/>
    <row r="4234" customFormat="1"/>
    <row r="4235" customFormat="1"/>
    <row r="4236" customFormat="1"/>
    <row r="4237" customFormat="1"/>
    <row r="4238" customFormat="1"/>
    <row r="4239" customFormat="1"/>
    <row r="4240" customFormat="1"/>
    <row r="4241" customFormat="1"/>
    <row r="4242" customFormat="1"/>
    <row r="4243" customFormat="1"/>
    <row r="4244" customFormat="1"/>
    <row r="4245" customFormat="1"/>
    <row r="4246" customFormat="1"/>
    <row r="4247" customFormat="1"/>
    <row r="4248" customFormat="1"/>
    <row r="4249" customFormat="1"/>
    <row r="4250" customFormat="1"/>
    <row r="4251" customFormat="1"/>
    <row r="4252" customFormat="1"/>
    <row r="4253" customFormat="1"/>
    <row r="4254" customFormat="1"/>
    <row r="4255" customFormat="1"/>
    <row r="4256" customFormat="1"/>
    <row r="4257" customFormat="1"/>
    <row r="4258" customFormat="1"/>
    <row r="4259" customFormat="1"/>
    <row r="4260" customFormat="1"/>
    <row r="4261" customFormat="1"/>
    <row r="4262" customFormat="1"/>
    <row r="4263" customFormat="1"/>
    <row r="4264" customFormat="1"/>
    <row r="4265" customFormat="1"/>
    <row r="4266" customFormat="1"/>
    <row r="4267" customFormat="1"/>
    <row r="4268" customFormat="1"/>
    <row r="4269" customFormat="1"/>
    <row r="4270" customFormat="1"/>
    <row r="4271" customFormat="1"/>
    <row r="4272" customFormat="1"/>
    <row r="4273" customFormat="1"/>
    <row r="4274" customFormat="1"/>
    <row r="4275" customFormat="1"/>
    <row r="4276" customFormat="1"/>
    <row r="4277" customFormat="1"/>
    <row r="4278" customFormat="1"/>
    <row r="4279" customFormat="1"/>
    <row r="4280" customFormat="1"/>
    <row r="4281" customFormat="1"/>
    <row r="4282" customFormat="1"/>
    <row r="4283" customFormat="1"/>
    <row r="4284" customFormat="1"/>
    <row r="4285" customFormat="1"/>
    <row r="4286" customFormat="1"/>
    <row r="4287" customFormat="1"/>
    <row r="4288" customFormat="1"/>
    <row r="4289" customFormat="1"/>
    <row r="4290" customFormat="1"/>
    <row r="4291" customFormat="1"/>
    <row r="4292" customFormat="1"/>
    <row r="4293" customFormat="1"/>
    <row r="4294" customFormat="1"/>
    <row r="4295" customFormat="1"/>
    <row r="4296" customFormat="1"/>
    <row r="4297" customFormat="1"/>
    <row r="4298" customFormat="1"/>
    <row r="4299" customFormat="1"/>
    <row r="4300" customFormat="1"/>
    <row r="4301" customFormat="1"/>
    <row r="4302" customFormat="1"/>
    <row r="4303" customFormat="1"/>
    <row r="4304" customFormat="1"/>
    <row r="4305" customFormat="1"/>
    <row r="4306" customFormat="1"/>
    <row r="4307" customFormat="1"/>
    <row r="4308" customFormat="1"/>
    <row r="4309" customFormat="1"/>
    <row r="4310" customFormat="1"/>
    <row r="4311" customFormat="1"/>
    <row r="4312" customFormat="1"/>
    <row r="4313" customFormat="1"/>
    <row r="4314" customFormat="1"/>
    <row r="4315" customFormat="1"/>
    <row r="4316" customFormat="1"/>
    <row r="4317" customFormat="1"/>
    <row r="4318" customFormat="1"/>
    <row r="4319" customFormat="1"/>
    <row r="4320" customFormat="1"/>
    <row r="4321" customFormat="1"/>
    <row r="4322" customFormat="1"/>
    <row r="4323" customFormat="1"/>
    <row r="4324" customFormat="1"/>
    <row r="4325" customFormat="1"/>
    <row r="4326" customFormat="1"/>
    <row r="4327" customFormat="1"/>
    <row r="4328" customFormat="1"/>
    <row r="4329" customFormat="1"/>
    <row r="4330" customFormat="1"/>
    <row r="4331" customFormat="1"/>
    <row r="4332" customFormat="1"/>
    <row r="4333" customFormat="1"/>
    <row r="4334" customFormat="1"/>
    <row r="4335" customFormat="1"/>
    <row r="4336" customFormat="1"/>
    <row r="4337" customFormat="1"/>
    <row r="4338" customFormat="1"/>
    <row r="4339" customFormat="1"/>
    <row r="4340" customFormat="1"/>
    <row r="4341" customFormat="1"/>
    <row r="4342" customFormat="1"/>
    <row r="4343" customFormat="1"/>
    <row r="4344" customFormat="1"/>
    <row r="4345" customFormat="1"/>
    <row r="4346" customFormat="1"/>
    <row r="4347" customFormat="1"/>
    <row r="4348" customFormat="1"/>
    <row r="4349" customFormat="1"/>
    <row r="4350" customFormat="1"/>
    <row r="4351" customFormat="1"/>
    <row r="4352" customFormat="1"/>
    <row r="4353" customFormat="1"/>
    <row r="4354" customFormat="1"/>
    <row r="4355" customFormat="1"/>
    <row r="4356" customFormat="1"/>
    <row r="4357" customFormat="1"/>
    <row r="4358" customFormat="1"/>
    <row r="4359" customFormat="1"/>
    <row r="4360" customFormat="1"/>
    <row r="4361" customFormat="1"/>
    <row r="4362" customFormat="1"/>
    <row r="4363" customFormat="1"/>
    <row r="4364" customFormat="1"/>
    <row r="4365" customFormat="1"/>
    <row r="4366" customFormat="1"/>
    <row r="4367" customFormat="1"/>
    <row r="4368" customFormat="1"/>
    <row r="4369" customFormat="1"/>
    <row r="4370" customFormat="1"/>
    <row r="4371" customFormat="1"/>
    <row r="4372" customFormat="1"/>
    <row r="4373" customFormat="1"/>
    <row r="4374" customFormat="1"/>
    <row r="4375" customFormat="1"/>
    <row r="4376" customFormat="1"/>
    <row r="4377" customFormat="1"/>
    <row r="4378" customFormat="1"/>
    <row r="4379" customFormat="1"/>
    <row r="4380" customFormat="1"/>
    <row r="4381" customFormat="1"/>
    <row r="4382" customFormat="1"/>
    <row r="4383" customFormat="1"/>
    <row r="4384" customFormat="1"/>
    <row r="4385" customFormat="1"/>
    <row r="4386" customFormat="1"/>
    <row r="4387" customFormat="1"/>
    <row r="4388" customFormat="1"/>
    <row r="4389" customFormat="1"/>
    <row r="4390" customFormat="1"/>
    <row r="4391" customFormat="1"/>
    <row r="4392" customFormat="1"/>
    <row r="4393" customFormat="1"/>
    <row r="4394" customFormat="1"/>
    <row r="4395" customFormat="1"/>
    <row r="4396" customFormat="1"/>
    <row r="4397" customFormat="1"/>
    <row r="4398" customFormat="1"/>
    <row r="4399" customFormat="1"/>
    <row r="4400" customFormat="1"/>
    <row r="4401" customFormat="1"/>
    <row r="4402" customFormat="1"/>
    <row r="4403" customFormat="1"/>
    <row r="4404" customFormat="1"/>
    <row r="4405" customFormat="1"/>
    <row r="4406" customFormat="1"/>
    <row r="4407" customFormat="1"/>
    <row r="4408" customFormat="1"/>
    <row r="4409" customFormat="1"/>
    <row r="4410" customFormat="1"/>
    <row r="4411" customFormat="1"/>
    <row r="4412" customFormat="1"/>
    <row r="4413" customFormat="1"/>
    <row r="4414" customFormat="1"/>
    <row r="4415" customFormat="1"/>
    <row r="4416" customFormat="1"/>
    <row r="4417" customFormat="1"/>
    <row r="4418" customFormat="1"/>
    <row r="4419" customFormat="1"/>
    <row r="4420" customFormat="1"/>
    <row r="4421" customFormat="1"/>
    <row r="4422" customFormat="1"/>
    <row r="4423" customFormat="1"/>
    <row r="4424" customFormat="1"/>
    <row r="4425" customFormat="1"/>
    <row r="4426" customFormat="1"/>
    <row r="4427" customFormat="1"/>
    <row r="4428" customFormat="1"/>
    <row r="4429" customFormat="1"/>
    <row r="4430" customFormat="1"/>
    <row r="4431" customFormat="1"/>
    <row r="4432" customFormat="1"/>
    <row r="4433" customFormat="1"/>
    <row r="4434" customFormat="1"/>
    <row r="4435" customFormat="1"/>
    <row r="4436" customFormat="1"/>
    <row r="4437" customFormat="1"/>
    <row r="4438" customFormat="1"/>
    <row r="4439" customFormat="1"/>
    <row r="4440" customFormat="1"/>
    <row r="4441" customFormat="1"/>
    <row r="4442" customFormat="1"/>
    <row r="4443" customFormat="1"/>
    <row r="4444" customFormat="1"/>
    <row r="4445" customFormat="1"/>
    <row r="4446" customFormat="1"/>
    <row r="4447" customFormat="1"/>
    <row r="4448" customFormat="1"/>
    <row r="4449" customFormat="1"/>
    <row r="4450" customFormat="1"/>
    <row r="4451" customFormat="1"/>
    <row r="4452" customFormat="1"/>
    <row r="4453" customFormat="1"/>
    <row r="4454" customFormat="1"/>
    <row r="4455" customFormat="1"/>
    <row r="4456" customFormat="1"/>
    <row r="4457" customFormat="1"/>
    <row r="4458" customFormat="1"/>
    <row r="4459" customFormat="1"/>
    <row r="4460" customFormat="1"/>
    <row r="4461" customFormat="1"/>
    <row r="4462" customFormat="1"/>
    <row r="4463" customFormat="1"/>
    <row r="4464" customFormat="1"/>
    <row r="4465" customFormat="1"/>
    <row r="4466" customFormat="1"/>
    <row r="4467" customFormat="1"/>
    <row r="4468" customFormat="1"/>
    <row r="4469" customFormat="1"/>
    <row r="4470" customFormat="1"/>
    <row r="4471" customFormat="1"/>
    <row r="4472" customFormat="1"/>
    <row r="4473" customFormat="1"/>
    <row r="4474" customFormat="1"/>
    <row r="4475" customFormat="1"/>
    <row r="4476" customFormat="1"/>
    <row r="4477" customFormat="1"/>
    <row r="4478" customFormat="1"/>
    <row r="4479" customFormat="1"/>
    <row r="4480" customFormat="1"/>
    <row r="4481" customFormat="1"/>
    <row r="4482" customFormat="1"/>
    <row r="4483" customFormat="1"/>
    <row r="4484" customFormat="1"/>
    <row r="4485" customFormat="1"/>
    <row r="4486" customFormat="1"/>
    <row r="4487" customFormat="1"/>
    <row r="4488" customFormat="1"/>
    <row r="4489" customFormat="1"/>
    <row r="4490" customFormat="1"/>
    <row r="4491" customFormat="1"/>
    <row r="4492" customFormat="1"/>
    <row r="4493" customFormat="1"/>
    <row r="4494" customFormat="1"/>
    <row r="4495" customFormat="1"/>
    <row r="4496" customFormat="1"/>
    <row r="4497" customFormat="1"/>
    <row r="4498" customFormat="1"/>
    <row r="4499" customFormat="1"/>
    <row r="4500" customFormat="1"/>
    <row r="4501" customFormat="1"/>
    <row r="4502" customFormat="1"/>
    <row r="4503" customFormat="1"/>
    <row r="4504" customFormat="1"/>
    <row r="4505" customFormat="1"/>
    <row r="4506" customFormat="1"/>
    <row r="4507" customFormat="1"/>
    <row r="4508" customFormat="1"/>
    <row r="4509" customFormat="1"/>
    <row r="4510" customFormat="1"/>
    <row r="4511" customFormat="1"/>
    <row r="4512" customFormat="1"/>
    <row r="4513" customFormat="1"/>
    <row r="4514" customFormat="1"/>
    <row r="4515" customFormat="1"/>
    <row r="4516" customFormat="1"/>
    <row r="4517" customFormat="1"/>
    <row r="4518" customFormat="1"/>
    <row r="4519" customFormat="1"/>
    <row r="4520" customFormat="1"/>
    <row r="4521" customFormat="1"/>
    <row r="4522" customFormat="1"/>
    <row r="4523" customFormat="1"/>
    <row r="4524" customFormat="1"/>
    <row r="4525" customFormat="1"/>
    <row r="4526" customFormat="1"/>
    <row r="4527" customFormat="1"/>
    <row r="4528" customFormat="1"/>
    <row r="4529" customFormat="1"/>
    <row r="4530" customFormat="1"/>
    <row r="4531" customFormat="1"/>
    <row r="4532" customFormat="1"/>
    <row r="4533" customFormat="1"/>
    <row r="4534" customFormat="1"/>
    <row r="4535" customFormat="1"/>
    <row r="4536" customFormat="1"/>
    <row r="4537" customFormat="1"/>
    <row r="4538" customFormat="1"/>
    <row r="4539" customFormat="1"/>
    <row r="4540" customFormat="1"/>
    <row r="4541" customFormat="1"/>
    <row r="4542" customFormat="1"/>
    <row r="4543" customFormat="1"/>
    <row r="4544" customFormat="1"/>
    <row r="4545" customFormat="1"/>
    <row r="4546" customFormat="1"/>
    <row r="4547" customFormat="1"/>
    <row r="4548" customFormat="1"/>
    <row r="4549" customFormat="1"/>
    <row r="4550" customFormat="1"/>
    <row r="4551" customFormat="1"/>
    <row r="4552" customFormat="1"/>
    <row r="4553" customFormat="1"/>
    <row r="4554" customFormat="1"/>
    <row r="4555" customFormat="1"/>
    <row r="4556" customFormat="1"/>
    <row r="4557" customFormat="1"/>
    <row r="4558" customFormat="1"/>
    <row r="4559" customFormat="1"/>
    <row r="4560" customFormat="1"/>
    <row r="4561" customFormat="1"/>
    <row r="4562" customFormat="1"/>
    <row r="4563" customFormat="1"/>
    <row r="4564" customFormat="1"/>
    <row r="4565" customFormat="1"/>
    <row r="4566" customFormat="1"/>
    <row r="4567" customFormat="1"/>
    <row r="4568" customFormat="1"/>
    <row r="4569" customFormat="1"/>
    <row r="4570" customFormat="1"/>
    <row r="4571" customFormat="1"/>
    <row r="4572" customFormat="1"/>
    <row r="4573" customFormat="1"/>
    <row r="4574" customFormat="1"/>
    <row r="4575" customFormat="1"/>
    <row r="4576" customFormat="1"/>
    <row r="4577" customFormat="1"/>
    <row r="4578" customFormat="1"/>
    <row r="4579" customFormat="1"/>
    <row r="4580" customFormat="1"/>
    <row r="4581" customFormat="1"/>
    <row r="4582" customFormat="1"/>
    <row r="4583" customFormat="1"/>
    <row r="4584" customFormat="1"/>
    <row r="4585" customFormat="1"/>
    <row r="4586" customFormat="1"/>
    <row r="4587" customFormat="1"/>
    <row r="4588" customFormat="1"/>
    <row r="4589" customFormat="1"/>
    <row r="4590" customFormat="1"/>
    <row r="4591" customFormat="1"/>
    <row r="4592" customFormat="1"/>
    <row r="4593" customFormat="1"/>
    <row r="4594" customFormat="1"/>
    <row r="4595" customFormat="1"/>
    <row r="4596" customFormat="1"/>
    <row r="4597" customFormat="1"/>
    <row r="4598" customFormat="1"/>
    <row r="4599" customFormat="1"/>
    <row r="4600" customFormat="1"/>
    <row r="4601" customFormat="1"/>
    <row r="4602" customFormat="1"/>
    <row r="4603" customFormat="1"/>
    <row r="4604" customFormat="1"/>
    <row r="4605" customFormat="1"/>
    <row r="4606" customFormat="1"/>
    <row r="4607" customFormat="1"/>
    <row r="4608" customFormat="1"/>
    <row r="4609" customFormat="1"/>
    <row r="4610" customFormat="1"/>
    <row r="4611" customFormat="1"/>
    <row r="4612" customFormat="1"/>
    <row r="4613" customFormat="1"/>
    <row r="4614" customFormat="1"/>
    <row r="4615" customFormat="1"/>
    <row r="4616" customFormat="1"/>
    <row r="4617" customFormat="1"/>
    <row r="4618" customFormat="1"/>
    <row r="4619" customFormat="1"/>
    <row r="4620" customFormat="1"/>
    <row r="4621" customFormat="1"/>
    <row r="4622" customFormat="1"/>
    <row r="4623" customFormat="1"/>
    <row r="4624" customFormat="1"/>
    <row r="4625" customFormat="1"/>
    <row r="4626" customFormat="1"/>
    <row r="4627" customFormat="1"/>
    <row r="4628" customFormat="1"/>
    <row r="4629" customFormat="1"/>
    <row r="4630" customFormat="1"/>
    <row r="4631" customFormat="1"/>
    <row r="4632" customFormat="1"/>
    <row r="4633" customFormat="1"/>
    <row r="4634" customFormat="1"/>
    <row r="4635" customFormat="1"/>
    <row r="4636" customFormat="1"/>
    <row r="4637" customFormat="1"/>
    <row r="4638" customFormat="1"/>
    <row r="4639" customFormat="1"/>
    <row r="4640" customFormat="1"/>
    <row r="4641" customFormat="1"/>
    <row r="4642" customFormat="1"/>
    <row r="4643" customFormat="1"/>
    <row r="4644" customFormat="1"/>
    <row r="4645" customFormat="1"/>
    <row r="4646" customFormat="1"/>
    <row r="4647" customFormat="1"/>
    <row r="4648" customFormat="1"/>
    <row r="4649" customFormat="1"/>
    <row r="4650" customFormat="1"/>
    <row r="4651" customFormat="1"/>
    <row r="4652" customFormat="1"/>
    <row r="4653" customFormat="1"/>
    <row r="4654" customFormat="1"/>
    <row r="4655" customFormat="1"/>
    <row r="4656" customFormat="1"/>
    <row r="4657" customFormat="1"/>
    <row r="4658" customFormat="1"/>
    <row r="4659" customFormat="1"/>
    <row r="4660" customFormat="1"/>
    <row r="4661" customFormat="1"/>
    <row r="4662" customFormat="1"/>
    <row r="4663" customFormat="1"/>
    <row r="4664" customFormat="1"/>
    <row r="4665" customFormat="1"/>
    <row r="4666" customFormat="1"/>
    <row r="4667" customFormat="1"/>
    <row r="4668" customFormat="1"/>
    <row r="4669" customFormat="1"/>
    <row r="4670" customFormat="1"/>
    <row r="4671" customFormat="1"/>
    <row r="4672" customFormat="1"/>
    <row r="4673" customFormat="1"/>
    <row r="4674" customFormat="1"/>
    <row r="4675" customFormat="1"/>
    <row r="4676" customFormat="1"/>
    <row r="4677" customFormat="1"/>
    <row r="4678" customFormat="1"/>
    <row r="4679" customFormat="1"/>
    <row r="4680" customFormat="1"/>
    <row r="4681" customFormat="1"/>
    <row r="4682" customFormat="1"/>
    <row r="4683" customFormat="1"/>
    <row r="4684" customFormat="1"/>
    <row r="4685" customFormat="1"/>
    <row r="4686" customFormat="1"/>
    <row r="4687" customFormat="1"/>
    <row r="4688" customFormat="1"/>
    <row r="4689" customFormat="1"/>
    <row r="4690" customFormat="1"/>
    <row r="4691" customFormat="1"/>
    <row r="4692" customFormat="1"/>
    <row r="4693" customFormat="1"/>
    <row r="4694" customFormat="1"/>
    <row r="4695" customFormat="1"/>
    <row r="4696" customFormat="1"/>
    <row r="4697" customFormat="1"/>
    <row r="4698" customFormat="1"/>
    <row r="4699" customFormat="1"/>
    <row r="4700" customFormat="1"/>
    <row r="4701" customFormat="1"/>
    <row r="4702" customFormat="1"/>
    <row r="4703" customFormat="1"/>
    <row r="4704" customFormat="1"/>
    <row r="4705" customFormat="1"/>
    <row r="4706" customFormat="1"/>
    <row r="4707" customFormat="1"/>
    <row r="4708" customFormat="1"/>
    <row r="4709" customFormat="1"/>
    <row r="4710" customFormat="1"/>
    <row r="4711" customFormat="1"/>
    <row r="4712" customFormat="1"/>
    <row r="4713" customFormat="1"/>
    <row r="4714" customFormat="1"/>
    <row r="4715" customFormat="1"/>
    <row r="4716" customFormat="1"/>
    <row r="4717" customFormat="1"/>
    <row r="4718" customFormat="1"/>
    <row r="4719" customFormat="1"/>
    <row r="4720" customFormat="1"/>
    <row r="4721" customFormat="1"/>
    <row r="4722" customFormat="1"/>
    <row r="4723" customFormat="1"/>
    <row r="4724" customFormat="1"/>
    <row r="4725" customFormat="1"/>
    <row r="4726" customFormat="1"/>
    <row r="4727" customFormat="1"/>
    <row r="4728" customFormat="1"/>
    <row r="4729" customFormat="1"/>
    <row r="4730" customFormat="1"/>
    <row r="4731" customFormat="1"/>
    <row r="4732" customFormat="1"/>
    <row r="4733" customFormat="1"/>
    <row r="4734" customFormat="1"/>
    <row r="4735" customFormat="1"/>
    <row r="4736" customFormat="1"/>
    <row r="4737" customFormat="1"/>
    <row r="4738" customFormat="1"/>
    <row r="4739" customFormat="1"/>
    <row r="4740" customFormat="1"/>
    <row r="4741" customFormat="1"/>
    <row r="4742" customFormat="1"/>
    <row r="4743" customFormat="1"/>
    <row r="4744" customFormat="1"/>
    <row r="4745" customFormat="1"/>
    <row r="4746" customFormat="1"/>
    <row r="4747" customFormat="1"/>
    <row r="4748" customFormat="1"/>
    <row r="4749" customFormat="1"/>
    <row r="4750" customFormat="1"/>
    <row r="4751" customFormat="1"/>
    <row r="4752" customFormat="1"/>
    <row r="4753" customFormat="1"/>
    <row r="4754" customFormat="1"/>
    <row r="4755" customFormat="1"/>
    <row r="4756" customFormat="1"/>
    <row r="4757" customFormat="1"/>
    <row r="4758" customFormat="1"/>
    <row r="4759" customFormat="1"/>
    <row r="4760" customFormat="1"/>
    <row r="4761" customFormat="1"/>
    <row r="4762" customFormat="1"/>
    <row r="4763" customFormat="1"/>
    <row r="4764" customFormat="1"/>
    <row r="4765" customFormat="1"/>
    <row r="4766" customFormat="1"/>
    <row r="4767" customFormat="1"/>
    <row r="4768" customFormat="1"/>
    <row r="4769" customFormat="1"/>
    <row r="4770" customFormat="1"/>
    <row r="4771" customFormat="1"/>
    <row r="4772" customFormat="1"/>
    <row r="4773" customFormat="1"/>
    <row r="4774" customFormat="1"/>
    <row r="4775" customFormat="1"/>
    <row r="4776" customFormat="1"/>
    <row r="4777" customFormat="1"/>
    <row r="4778" customFormat="1"/>
    <row r="4779" customFormat="1"/>
    <row r="4780" customFormat="1"/>
    <row r="4781" customFormat="1"/>
    <row r="4782" customFormat="1"/>
    <row r="4783" customFormat="1"/>
    <row r="4784" customFormat="1"/>
    <row r="4785" customFormat="1"/>
    <row r="4786" customFormat="1"/>
    <row r="4787" customFormat="1"/>
    <row r="4788" customFormat="1"/>
    <row r="4789" customFormat="1"/>
    <row r="4790" customFormat="1"/>
    <row r="4791" customFormat="1"/>
    <row r="4792" customFormat="1"/>
    <row r="4793" customFormat="1"/>
    <row r="4794" customFormat="1"/>
    <row r="4795" customFormat="1"/>
    <row r="4796" customFormat="1"/>
    <row r="4797" customFormat="1"/>
    <row r="4798" customFormat="1"/>
    <row r="4799" customFormat="1"/>
    <row r="4800" customFormat="1"/>
    <row r="4801" customFormat="1"/>
    <row r="4802" customFormat="1"/>
    <row r="4803" customFormat="1"/>
    <row r="4804" customFormat="1"/>
    <row r="4805" customFormat="1"/>
    <row r="4806" customFormat="1"/>
    <row r="4807" customFormat="1"/>
    <row r="4808" customFormat="1"/>
    <row r="4809" customFormat="1"/>
    <row r="4810" customFormat="1"/>
    <row r="4811" customFormat="1"/>
    <row r="4812" customFormat="1"/>
    <row r="4813" customFormat="1"/>
    <row r="4814" customFormat="1"/>
    <row r="4815" customFormat="1"/>
    <row r="4816" customFormat="1"/>
    <row r="4817" customFormat="1"/>
    <row r="4818" customFormat="1"/>
    <row r="4819" customFormat="1"/>
    <row r="4820" customFormat="1"/>
    <row r="4821" customFormat="1"/>
    <row r="4822" customFormat="1"/>
    <row r="4823" customFormat="1"/>
    <row r="4824" customFormat="1"/>
    <row r="4825" customFormat="1"/>
    <row r="4826" customFormat="1"/>
    <row r="4827" customFormat="1"/>
    <row r="4828" customFormat="1"/>
    <row r="4829" customFormat="1"/>
    <row r="4830" customFormat="1"/>
    <row r="4831" customFormat="1"/>
    <row r="4832" customFormat="1"/>
    <row r="4833" customFormat="1"/>
    <row r="4834" customFormat="1"/>
    <row r="4835" customFormat="1"/>
    <row r="4836" customFormat="1"/>
    <row r="4837" customFormat="1"/>
    <row r="4838" customFormat="1"/>
    <row r="4839" customFormat="1"/>
    <row r="4840" customFormat="1"/>
    <row r="4841" customFormat="1"/>
    <row r="4842" customFormat="1"/>
    <row r="4843" customFormat="1"/>
    <row r="4844" customFormat="1"/>
    <row r="4845" customFormat="1"/>
    <row r="4846" customFormat="1"/>
    <row r="4847" customFormat="1"/>
    <row r="4848" customFormat="1"/>
    <row r="4849" customFormat="1"/>
    <row r="4850" customFormat="1"/>
    <row r="4851" customFormat="1"/>
    <row r="4852" customFormat="1"/>
    <row r="4853" customFormat="1"/>
    <row r="4854" customFormat="1"/>
    <row r="4855" customFormat="1"/>
    <row r="4856" customFormat="1"/>
    <row r="4857" customFormat="1"/>
    <row r="4858" customFormat="1"/>
    <row r="4859" customFormat="1"/>
    <row r="4860" customFormat="1"/>
    <row r="4861" customFormat="1"/>
    <row r="4862" customFormat="1"/>
    <row r="4863" customFormat="1"/>
    <row r="4864" customFormat="1"/>
    <row r="4865" customFormat="1"/>
    <row r="4866" customFormat="1"/>
    <row r="4867" customFormat="1"/>
    <row r="4868" customFormat="1"/>
    <row r="4869" customFormat="1"/>
    <row r="4870" customFormat="1"/>
    <row r="4871" customFormat="1"/>
    <row r="4872" customFormat="1"/>
    <row r="4873" customFormat="1"/>
    <row r="4874" customFormat="1"/>
    <row r="4875" customFormat="1"/>
    <row r="4876" customFormat="1"/>
    <row r="4877" customFormat="1"/>
    <row r="4878" customFormat="1"/>
    <row r="4879" customFormat="1"/>
    <row r="4880" customFormat="1"/>
    <row r="4881" customFormat="1"/>
    <row r="4882" customFormat="1"/>
    <row r="4883" customFormat="1"/>
    <row r="4884" customFormat="1"/>
    <row r="4885" customFormat="1"/>
    <row r="4886" customFormat="1"/>
    <row r="4887" customFormat="1"/>
    <row r="4888" customFormat="1"/>
    <row r="4889" customFormat="1"/>
    <row r="4890" customFormat="1"/>
    <row r="4891" customFormat="1"/>
    <row r="4892" customFormat="1"/>
    <row r="4893" customFormat="1"/>
    <row r="4894" customFormat="1"/>
    <row r="4895" customFormat="1"/>
    <row r="4896" customFormat="1"/>
    <row r="4897" customFormat="1"/>
    <row r="4898" customFormat="1"/>
    <row r="4899" customFormat="1"/>
    <row r="4900" customFormat="1"/>
    <row r="4901" customFormat="1"/>
    <row r="4902" customFormat="1"/>
    <row r="4903" customFormat="1"/>
    <row r="4904" customFormat="1"/>
    <row r="4905" customFormat="1"/>
    <row r="4906" customFormat="1"/>
    <row r="4907" customFormat="1"/>
    <row r="4908" customFormat="1"/>
    <row r="4909" customFormat="1"/>
    <row r="4910" customFormat="1"/>
    <row r="4911" customFormat="1"/>
    <row r="4912" customFormat="1"/>
    <row r="4913" customFormat="1"/>
    <row r="4914" customFormat="1"/>
    <row r="4915" customFormat="1"/>
    <row r="4916" customFormat="1"/>
    <row r="4917" customFormat="1"/>
    <row r="4918" customFormat="1"/>
    <row r="4919" customFormat="1"/>
    <row r="4920" customFormat="1"/>
    <row r="4921" customFormat="1"/>
    <row r="4922" customFormat="1"/>
    <row r="4923" customFormat="1"/>
    <row r="4924" customFormat="1"/>
    <row r="4925" customFormat="1"/>
    <row r="4926" customFormat="1"/>
    <row r="4927" customFormat="1"/>
    <row r="4928" customFormat="1"/>
    <row r="4929" customFormat="1"/>
    <row r="4930" customFormat="1"/>
    <row r="4931" customFormat="1"/>
    <row r="4932" customFormat="1"/>
    <row r="4933" customFormat="1"/>
    <row r="4934" customFormat="1"/>
    <row r="4935" customFormat="1"/>
    <row r="4936" customFormat="1"/>
    <row r="4937" customFormat="1"/>
    <row r="4938" customFormat="1"/>
    <row r="4939" customFormat="1"/>
    <row r="4940" customFormat="1"/>
    <row r="4941" customFormat="1"/>
    <row r="4942" customFormat="1"/>
    <row r="4943" customFormat="1"/>
    <row r="4944" customFormat="1"/>
    <row r="4945" customFormat="1"/>
    <row r="4946" customFormat="1"/>
    <row r="4947" customFormat="1"/>
    <row r="4948" customFormat="1"/>
    <row r="4949" customFormat="1"/>
    <row r="4950" customFormat="1"/>
    <row r="4951" customFormat="1"/>
    <row r="4952" customFormat="1"/>
    <row r="4953" customFormat="1"/>
    <row r="4954" customFormat="1"/>
    <row r="4955" customFormat="1"/>
    <row r="4956" customFormat="1"/>
    <row r="4957" customFormat="1"/>
    <row r="4958" customFormat="1"/>
    <row r="4959" customFormat="1"/>
    <row r="4960" customFormat="1"/>
    <row r="4961" customFormat="1"/>
    <row r="4962" customFormat="1"/>
    <row r="4963" customFormat="1"/>
    <row r="4964" customFormat="1"/>
    <row r="4965" customFormat="1"/>
    <row r="4966" customFormat="1"/>
    <row r="4967" customFormat="1"/>
    <row r="4968" customFormat="1"/>
    <row r="4969" customFormat="1"/>
    <row r="4970" customFormat="1"/>
    <row r="4971" customFormat="1"/>
    <row r="4972" customFormat="1"/>
    <row r="4973" customFormat="1"/>
    <row r="4974" customFormat="1"/>
    <row r="4975" customFormat="1"/>
    <row r="4976" customFormat="1"/>
    <row r="4977" customFormat="1"/>
    <row r="4978" customFormat="1"/>
    <row r="4979" customFormat="1"/>
    <row r="4980" customFormat="1"/>
    <row r="4981" customFormat="1"/>
    <row r="4982" customFormat="1"/>
    <row r="4983" customFormat="1"/>
    <row r="4984" customFormat="1"/>
    <row r="4985" customFormat="1"/>
    <row r="4986" customFormat="1"/>
    <row r="4987" customFormat="1"/>
    <row r="4988" customFormat="1"/>
    <row r="4989" customFormat="1"/>
    <row r="4990" customFormat="1"/>
    <row r="4991" customFormat="1"/>
    <row r="4992" customFormat="1"/>
    <row r="4993" customFormat="1"/>
    <row r="4994" customFormat="1"/>
    <row r="4995" customFormat="1"/>
    <row r="4996" customFormat="1"/>
    <row r="4997" customFormat="1"/>
    <row r="4998" customFormat="1"/>
    <row r="4999" customFormat="1"/>
    <row r="5000" customFormat="1"/>
  </sheetData>
  <autoFilter ref="A1:K702">
    <filterColumn colId="5">
      <customFilters>
        <customFilter operator="greaterThanOrEqual" val="5"/>
      </customFilters>
    </filterColumn>
    <filterColumn colId="6">
      <customFilters>
        <customFilter operator="greaterThanOrEqual" val="5"/>
      </customFilters>
    </filterColumn>
    <filterColumn colId="9">
      <customFilters>
        <customFilter operator="greaterThanOrEqual" val="21"/>
      </customFilters>
    </filterColumn>
  </autoFilter>
  <sortState ref="A4:K2000">
    <sortCondition descending="1" ref="J2:J2000"/>
  </sortState>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295" r:id="rId4" name="CommandButton5">
          <controlPr defaultSize="0" autoLine="0" r:id="rId5">
            <anchor moveWithCells="1">
              <from>
                <xdr:col>10</xdr:col>
                <xdr:colOff>1314450</xdr:colOff>
                <xdr:row>0</xdr:row>
                <xdr:rowOff>57150</xdr:rowOff>
              </from>
              <to>
                <xdr:col>10</xdr:col>
                <xdr:colOff>2409825</xdr:colOff>
                <xdr:row>0</xdr:row>
                <xdr:rowOff>352425</xdr:rowOff>
              </to>
            </anchor>
          </controlPr>
        </control>
      </mc:Choice>
      <mc:Fallback>
        <control shapeId="12295" r:id="rId4" name="CommandButton5"/>
      </mc:Fallback>
    </mc:AlternateContent>
    <mc:AlternateContent xmlns:mc="http://schemas.openxmlformats.org/markup-compatibility/2006">
      <mc:Choice Requires="x14">
        <control shapeId="12293" r:id="rId6" name="CommandButton4">
          <controlPr defaultSize="0" autoLine="0" r:id="rId7">
            <anchor moveWithCells="1">
              <from>
                <xdr:col>10</xdr:col>
                <xdr:colOff>66675</xdr:colOff>
                <xdr:row>0</xdr:row>
                <xdr:rowOff>57150</xdr:rowOff>
              </from>
              <to>
                <xdr:col>10</xdr:col>
                <xdr:colOff>1162050</xdr:colOff>
                <xdr:row>0</xdr:row>
                <xdr:rowOff>352425</xdr:rowOff>
              </to>
            </anchor>
          </controlPr>
        </control>
      </mc:Choice>
      <mc:Fallback>
        <control shapeId="12293" r:id="rId6" name="CommandButton4"/>
      </mc:Fallback>
    </mc:AlternateContent>
    <mc:AlternateContent xmlns:mc="http://schemas.openxmlformats.org/markup-compatibility/2006">
      <mc:Choice Requires="x14">
        <control shapeId="12289" r:id="rId8" name="ComboBox1">
          <controlPr defaultSize="0" autoLine="0" autoPict="0" linkedCell="A1" r:id="rId9">
            <anchor moveWithCells="1">
              <from>
                <xdr:col>0</xdr:col>
                <xdr:colOff>57150</xdr:colOff>
                <xdr:row>0</xdr:row>
                <xdr:rowOff>57150</xdr:rowOff>
              </from>
              <to>
                <xdr:col>1</xdr:col>
                <xdr:colOff>9525</xdr:colOff>
                <xdr:row>0</xdr:row>
                <xdr:rowOff>352425</xdr:rowOff>
              </to>
            </anchor>
          </controlPr>
        </control>
      </mc:Choice>
      <mc:Fallback>
        <control shapeId="12289" r:id="rId8" name="ComboBox1"/>
      </mc:Fallback>
    </mc:AlternateContent>
    <mc:AlternateContent xmlns:mc="http://schemas.openxmlformats.org/markup-compatibility/2006">
      <mc:Choice Requires="x14">
        <control shapeId="12290" r:id="rId10" name="CommandButton1">
          <controlPr defaultSize="0" autoLine="0" r:id="rId11">
            <anchor moveWithCells="1">
              <from>
                <xdr:col>5</xdr:col>
                <xdr:colOff>28575</xdr:colOff>
                <xdr:row>0</xdr:row>
                <xdr:rowOff>57150</xdr:rowOff>
              </from>
              <to>
                <xdr:col>5</xdr:col>
                <xdr:colOff>1123950</xdr:colOff>
                <xdr:row>0</xdr:row>
                <xdr:rowOff>352425</xdr:rowOff>
              </to>
            </anchor>
          </controlPr>
        </control>
      </mc:Choice>
      <mc:Fallback>
        <control shapeId="12290" r:id="rId10" name="CommandButton1"/>
      </mc:Fallback>
    </mc:AlternateContent>
    <mc:AlternateContent xmlns:mc="http://schemas.openxmlformats.org/markup-compatibility/2006">
      <mc:Choice Requires="x14">
        <control shapeId="12291" r:id="rId12" name="CommandButton2">
          <controlPr defaultSize="0" autoLine="0" r:id="rId13">
            <anchor moveWithCells="1">
              <from>
                <xdr:col>6</xdr:col>
                <xdr:colOff>38100</xdr:colOff>
                <xdr:row>0</xdr:row>
                <xdr:rowOff>57150</xdr:rowOff>
              </from>
              <to>
                <xdr:col>6</xdr:col>
                <xdr:colOff>1133475</xdr:colOff>
                <xdr:row>0</xdr:row>
                <xdr:rowOff>352425</xdr:rowOff>
              </to>
            </anchor>
          </controlPr>
        </control>
      </mc:Choice>
      <mc:Fallback>
        <control shapeId="12291" r:id="rId12" name="CommandButton2"/>
      </mc:Fallback>
    </mc:AlternateContent>
    <mc:AlternateContent xmlns:mc="http://schemas.openxmlformats.org/markup-compatibility/2006">
      <mc:Choice Requires="x14">
        <control shapeId="12292" r:id="rId14" name="CommandButton3">
          <controlPr defaultSize="0" autoLine="0" r:id="rId15">
            <anchor moveWithCells="1">
              <from>
                <xdr:col>9</xdr:col>
                <xdr:colOff>28575</xdr:colOff>
                <xdr:row>0</xdr:row>
                <xdr:rowOff>57150</xdr:rowOff>
              </from>
              <to>
                <xdr:col>9</xdr:col>
                <xdr:colOff>1123950</xdr:colOff>
                <xdr:row>0</xdr:row>
                <xdr:rowOff>352425</xdr:rowOff>
              </to>
            </anchor>
          </controlPr>
        </control>
      </mc:Choice>
      <mc:Fallback>
        <control shapeId="12292" r:id="rId14" name="CommandButton3"/>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dimension ref="A1:N39"/>
  <sheetViews>
    <sheetView workbookViewId="0">
      <selection activeCell="F15" sqref="F15"/>
    </sheetView>
  </sheetViews>
  <sheetFormatPr defaultRowHeight="16.5"/>
  <sheetData>
    <row r="1" spans="1:14">
      <c r="A1" t="s">
        <v>581</v>
      </c>
    </row>
    <row r="2" spans="1:14">
      <c r="A2" t="s">
        <v>582</v>
      </c>
    </row>
    <row r="3" spans="1:14">
      <c r="A3" t="s">
        <v>583</v>
      </c>
    </row>
    <row r="5" spans="1:14">
      <c r="A5" s="68" t="s">
        <v>584</v>
      </c>
      <c r="B5" s="68"/>
      <c r="C5" s="68"/>
      <c r="D5" s="68"/>
      <c r="E5" s="68"/>
      <c r="F5" s="68"/>
      <c r="G5" s="68"/>
      <c r="H5" s="68"/>
      <c r="I5" s="68"/>
      <c r="J5" s="68"/>
      <c r="K5" s="68"/>
      <c r="L5" s="68"/>
      <c r="M5" s="68"/>
      <c r="N5" s="68"/>
    </row>
    <row r="6" spans="1:14">
      <c r="A6" s="68"/>
      <c r="B6" s="68"/>
      <c r="C6" s="68"/>
      <c r="D6" s="68"/>
      <c r="E6" s="68"/>
      <c r="F6" s="68"/>
      <c r="G6" s="68"/>
      <c r="H6" s="68"/>
      <c r="I6" s="68"/>
      <c r="J6" s="68"/>
      <c r="K6" s="68"/>
      <c r="L6" s="68"/>
      <c r="M6" s="68"/>
      <c r="N6" s="68"/>
    </row>
    <row r="7" spans="1:14">
      <c r="A7" s="68"/>
      <c r="B7" s="68"/>
      <c r="C7" s="68"/>
      <c r="D7" s="68"/>
      <c r="E7" s="68"/>
      <c r="F7" s="68"/>
      <c r="G7" s="68"/>
      <c r="H7" s="68"/>
      <c r="I7" s="68"/>
      <c r="J7" s="68"/>
      <c r="K7" s="68"/>
      <c r="L7" s="68"/>
      <c r="M7" s="68"/>
      <c r="N7" s="68"/>
    </row>
    <row r="8" spans="1:14">
      <c r="A8" s="68" t="s">
        <v>585</v>
      </c>
      <c r="B8" s="68"/>
      <c r="C8" s="68"/>
      <c r="D8" s="68"/>
      <c r="E8" s="68"/>
      <c r="F8" s="68"/>
      <c r="G8" s="68"/>
      <c r="H8" s="68"/>
      <c r="I8" s="68"/>
      <c r="J8" s="68"/>
      <c r="K8" s="68"/>
      <c r="L8" s="68"/>
      <c r="M8" s="68"/>
      <c r="N8" s="68"/>
    </row>
    <row r="9" spans="1:14">
      <c r="A9" s="68" t="s">
        <v>586</v>
      </c>
      <c r="B9" s="68"/>
      <c r="C9" s="68"/>
      <c r="D9" s="68"/>
      <c r="E9" s="68"/>
      <c r="F9" s="68"/>
      <c r="G9" s="68"/>
      <c r="H9" s="68"/>
      <c r="I9" s="68"/>
      <c r="J9" s="68"/>
      <c r="K9" s="68"/>
      <c r="L9" s="68"/>
      <c r="M9" s="68"/>
      <c r="N9" s="68"/>
    </row>
    <row r="10" spans="1:14">
      <c r="A10" s="68" t="s">
        <v>587</v>
      </c>
      <c r="B10" s="68"/>
      <c r="C10" s="68"/>
      <c r="D10" s="68"/>
      <c r="E10" s="68"/>
      <c r="F10" s="68"/>
      <c r="G10" s="68"/>
      <c r="H10" s="68"/>
      <c r="I10" s="68"/>
      <c r="J10" s="68"/>
      <c r="K10" s="68"/>
      <c r="L10" s="68"/>
      <c r="M10" s="68"/>
      <c r="N10" s="68"/>
    </row>
    <row r="11" spans="1:14">
      <c r="A11" s="68" t="s">
        <v>588</v>
      </c>
      <c r="B11" s="68"/>
      <c r="C11" s="68"/>
      <c r="D11" s="68"/>
      <c r="E11" s="68"/>
      <c r="F11" s="68"/>
      <c r="G11" s="68"/>
      <c r="H11" s="68"/>
      <c r="I11" s="68"/>
      <c r="J11" s="68"/>
      <c r="K11" s="68"/>
      <c r="L11" s="68"/>
      <c r="M11" s="68"/>
      <c r="N11" s="68"/>
    </row>
    <row r="12" spans="1:14">
      <c r="A12" s="68" t="s">
        <v>589</v>
      </c>
      <c r="B12" s="68"/>
      <c r="C12" s="68"/>
      <c r="D12" s="68"/>
      <c r="E12" s="68"/>
      <c r="F12" s="68"/>
      <c r="G12" s="68"/>
      <c r="H12" s="68"/>
      <c r="I12" s="68"/>
      <c r="J12" s="68"/>
      <c r="K12" s="68"/>
      <c r="L12" s="68"/>
      <c r="M12" s="68"/>
      <c r="N12" s="68"/>
    </row>
    <row r="13" spans="1:14">
      <c r="A13" s="68" t="s">
        <v>590</v>
      </c>
      <c r="B13" s="68"/>
      <c r="C13" s="68"/>
      <c r="D13" s="68"/>
      <c r="E13" s="68"/>
      <c r="F13" s="68"/>
      <c r="G13" s="68"/>
      <c r="H13" s="68"/>
      <c r="I13" s="68"/>
      <c r="J13" s="68"/>
      <c r="K13" s="68"/>
      <c r="L13" s="68"/>
      <c r="M13" s="68"/>
      <c r="N13" s="68"/>
    </row>
    <row r="14" spans="1:14">
      <c r="A14" s="68" t="s">
        <v>591</v>
      </c>
      <c r="B14" s="68"/>
      <c r="C14" s="68"/>
      <c r="D14" s="68"/>
      <c r="E14" s="68"/>
      <c r="F14" s="68"/>
      <c r="G14" s="68"/>
      <c r="H14" s="68"/>
      <c r="I14" s="68"/>
      <c r="J14" s="68"/>
      <c r="K14" s="68"/>
      <c r="L14" s="68"/>
      <c r="M14" s="68"/>
      <c r="N14" s="68"/>
    </row>
    <row r="15" spans="1:14">
      <c r="A15" s="68" t="s">
        <v>592</v>
      </c>
      <c r="B15" s="68"/>
      <c r="C15" s="68"/>
      <c r="D15" s="68"/>
      <c r="E15" s="68"/>
      <c r="F15" s="68"/>
      <c r="G15" s="68"/>
      <c r="H15" s="68"/>
      <c r="I15" s="68"/>
      <c r="J15" s="68"/>
      <c r="K15" s="68"/>
      <c r="L15" s="68"/>
      <c r="M15" s="68"/>
      <c r="N15" s="68"/>
    </row>
    <row r="16" spans="1:14">
      <c r="A16" s="68" t="s">
        <v>593</v>
      </c>
      <c r="B16" s="68"/>
      <c r="C16" s="68"/>
      <c r="D16" s="68"/>
      <c r="E16" s="68"/>
      <c r="F16" s="68"/>
      <c r="G16" s="68"/>
      <c r="H16" s="68"/>
      <c r="I16" s="68"/>
      <c r="J16" s="68"/>
      <c r="K16" s="68"/>
      <c r="L16" s="68"/>
      <c r="M16" s="68"/>
      <c r="N16" s="68"/>
    </row>
    <row r="17" spans="1:14">
      <c r="A17" s="68" t="s">
        <v>594</v>
      </c>
      <c r="B17" s="68"/>
      <c r="C17" s="68"/>
      <c r="D17" s="68"/>
      <c r="E17" s="68"/>
      <c r="F17" s="68"/>
      <c r="G17" s="68"/>
      <c r="H17" s="68"/>
      <c r="I17" s="68"/>
      <c r="J17" s="68"/>
      <c r="K17" s="68"/>
      <c r="L17" s="68"/>
      <c r="M17" s="68"/>
      <c r="N17" s="68"/>
    </row>
    <row r="18" spans="1:14">
      <c r="A18" s="68" t="s">
        <v>595</v>
      </c>
      <c r="B18" s="68"/>
      <c r="C18" s="68"/>
      <c r="D18" s="68"/>
      <c r="E18" s="68"/>
      <c r="F18" s="68"/>
      <c r="G18" s="68"/>
      <c r="H18" s="68"/>
      <c r="I18" s="68"/>
      <c r="J18" s="68"/>
      <c r="K18" s="68"/>
      <c r="L18" s="68"/>
      <c r="M18" s="68"/>
      <c r="N18" s="68"/>
    </row>
    <row r="19" spans="1:14">
      <c r="A19" s="68" t="s">
        <v>596</v>
      </c>
      <c r="B19" s="68"/>
      <c r="C19" s="68"/>
      <c r="D19" s="68"/>
      <c r="E19" s="68"/>
      <c r="F19" s="68"/>
      <c r="G19" s="68"/>
      <c r="H19" s="68"/>
      <c r="I19" s="68"/>
      <c r="J19" s="68"/>
      <c r="K19" s="68"/>
      <c r="L19" s="68"/>
      <c r="M19" s="68"/>
      <c r="N19" s="68"/>
    </row>
    <row r="20" spans="1:14">
      <c r="A20" s="68" t="s">
        <v>597</v>
      </c>
      <c r="B20" s="68"/>
      <c r="C20" s="68" t="s">
        <v>614</v>
      </c>
      <c r="D20" s="68"/>
      <c r="E20" s="68"/>
      <c r="F20" s="68"/>
      <c r="G20" s="68"/>
      <c r="H20" s="68"/>
      <c r="I20" s="68"/>
      <c r="J20" s="68"/>
      <c r="K20" s="68"/>
      <c r="L20" s="68"/>
      <c r="M20" s="68"/>
      <c r="N20" s="68"/>
    </row>
    <row r="21" spans="1:14">
      <c r="A21" s="68" t="s">
        <v>598</v>
      </c>
      <c r="B21" s="68"/>
      <c r="C21" s="68" t="s">
        <v>615</v>
      </c>
      <c r="D21" s="68" t="s">
        <v>616</v>
      </c>
      <c r="E21" s="68" t="s">
        <v>617</v>
      </c>
      <c r="F21" s="68" t="s">
        <v>618</v>
      </c>
      <c r="G21" s="68"/>
      <c r="H21" s="68"/>
      <c r="I21" s="68"/>
      <c r="J21" s="68"/>
      <c r="K21" s="68"/>
      <c r="L21" s="68"/>
      <c r="M21" s="68"/>
      <c r="N21" s="68"/>
    </row>
    <row r="22" spans="1:14">
      <c r="A22" s="68" t="s">
        <v>599</v>
      </c>
      <c r="B22" s="68"/>
      <c r="C22" s="68" t="s">
        <v>619</v>
      </c>
      <c r="D22" s="68"/>
      <c r="E22" s="68"/>
      <c r="F22" s="68"/>
      <c r="G22" s="68"/>
      <c r="H22" s="68"/>
      <c r="I22" s="68"/>
      <c r="J22" s="68"/>
      <c r="K22" s="68"/>
      <c r="L22" s="68"/>
      <c r="M22" s="68"/>
      <c r="N22" s="68"/>
    </row>
    <row r="23" spans="1:14">
      <c r="A23" s="68" t="s">
        <v>600</v>
      </c>
      <c r="B23" s="68"/>
      <c r="C23" s="68"/>
      <c r="D23" s="68"/>
      <c r="E23" s="68"/>
      <c r="F23" s="68"/>
      <c r="G23" s="68"/>
      <c r="H23" s="68"/>
      <c r="I23" s="68"/>
      <c r="J23" s="68"/>
      <c r="K23" s="68"/>
      <c r="L23" s="68"/>
      <c r="M23" s="68"/>
      <c r="N23" s="68"/>
    </row>
    <row r="24" spans="1:14">
      <c r="A24" s="68" t="s">
        <v>601</v>
      </c>
      <c r="B24" s="68"/>
      <c r="C24" s="68" t="s">
        <v>620</v>
      </c>
      <c r="D24" s="68"/>
      <c r="E24" s="68"/>
      <c r="F24" s="68"/>
      <c r="G24" s="68"/>
      <c r="H24" s="68"/>
      <c r="I24" s="68"/>
      <c r="J24" s="68"/>
      <c r="K24" s="68"/>
      <c r="L24" s="68"/>
      <c r="M24" s="68"/>
      <c r="N24" s="68"/>
    </row>
    <row r="25" spans="1:14">
      <c r="A25" s="68" t="s">
        <v>602</v>
      </c>
      <c r="B25" s="68"/>
      <c r="C25" s="68"/>
      <c r="D25" s="68"/>
      <c r="E25" s="68"/>
      <c r="F25" s="68"/>
      <c r="G25" s="68"/>
      <c r="H25" s="68"/>
      <c r="I25" s="68"/>
      <c r="J25" s="68"/>
      <c r="K25" s="68"/>
      <c r="L25" s="68"/>
      <c r="M25" s="68"/>
      <c r="N25" s="68"/>
    </row>
    <row r="26" spans="1:14">
      <c r="A26" s="68" t="s">
        <v>600</v>
      </c>
      <c r="B26" s="68"/>
      <c r="C26" s="68"/>
      <c r="D26" s="68"/>
      <c r="E26" s="68"/>
      <c r="F26" s="68"/>
      <c r="G26" s="68"/>
      <c r="H26" s="68"/>
      <c r="I26" s="68"/>
      <c r="J26" s="68"/>
      <c r="K26" s="68"/>
      <c r="L26" s="68"/>
      <c r="M26" s="68"/>
      <c r="N26" s="68"/>
    </row>
    <row r="27" spans="1:14">
      <c r="A27" s="68" t="s">
        <v>603</v>
      </c>
      <c r="B27" s="68"/>
      <c r="C27" s="68"/>
      <c r="D27" s="68"/>
      <c r="E27" s="68"/>
      <c r="F27" s="68"/>
      <c r="G27" s="68"/>
      <c r="H27" s="68"/>
      <c r="I27" s="68"/>
      <c r="J27" s="68"/>
      <c r="K27" s="68"/>
      <c r="L27" s="68"/>
      <c r="M27" s="68"/>
      <c r="N27" s="68"/>
    </row>
    <row r="28" spans="1:14">
      <c r="A28" s="68" t="s">
        <v>604</v>
      </c>
      <c r="B28" s="68"/>
      <c r="C28" s="68"/>
      <c r="D28" s="68"/>
      <c r="E28" s="68"/>
      <c r="F28" s="68"/>
      <c r="G28" s="68"/>
      <c r="H28" s="68"/>
      <c r="I28" s="68"/>
      <c r="J28" s="68"/>
      <c r="K28" s="68"/>
      <c r="L28" s="68"/>
      <c r="M28" s="68"/>
      <c r="N28" s="68"/>
    </row>
    <row r="29" spans="1:14">
      <c r="A29" s="68" t="s">
        <v>605</v>
      </c>
      <c r="B29" s="68"/>
      <c r="C29" s="68"/>
      <c r="D29" s="68"/>
      <c r="E29" s="68"/>
      <c r="F29" s="68"/>
      <c r="G29" s="68"/>
      <c r="H29" s="68"/>
      <c r="I29" s="68"/>
      <c r="J29" s="68"/>
      <c r="K29" s="68"/>
      <c r="L29" s="68"/>
      <c r="M29" s="68"/>
      <c r="N29" s="68"/>
    </row>
    <row r="30" spans="1:14">
      <c r="A30" s="68" t="s">
        <v>606</v>
      </c>
      <c r="B30" s="68"/>
      <c r="C30" s="68"/>
      <c r="D30" s="68"/>
      <c r="E30" s="68"/>
      <c r="F30" s="68"/>
      <c r="G30" s="68"/>
      <c r="H30" s="68"/>
      <c r="I30" s="68"/>
      <c r="J30" s="68"/>
      <c r="K30" s="68"/>
      <c r="L30" s="68"/>
      <c r="M30" s="68"/>
      <c r="N30" s="68"/>
    </row>
    <row r="31" spans="1:14">
      <c r="A31" s="68" t="s">
        <v>600</v>
      </c>
      <c r="B31" s="68"/>
      <c r="C31" s="68"/>
      <c r="D31" s="68"/>
      <c r="E31" s="68"/>
      <c r="F31" s="68"/>
      <c r="G31" s="68"/>
      <c r="H31" s="68"/>
      <c r="I31" s="68"/>
      <c r="J31" s="68"/>
      <c r="K31" s="68"/>
      <c r="L31" s="68"/>
      <c r="M31" s="68"/>
      <c r="N31" s="68"/>
    </row>
    <row r="32" spans="1:14">
      <c r="A32" s="68" t="s">
        <v>607</v>
      </c>
      <c r="B32" s="68"/>
      <c r="C32" s="68"/>
      <c r="D32" s="68"/>
      <c r="E32" s="68"/>
      <c r="F32" s="68"/>
      <c r="G32" s="68"/>
      <c r="H32" s="68"/>
      <c r="I32" s="68"/>
      <c r="J32" s="68"/>
      <c r="K32" s="68"/>
      <c r="L32" s="68"/>
      <c r="M32" s="68"/>
      <c r="N32" s="68"/>
    </row>
    <row r="33" spans="1:14">
      <c r="A33" s="68" t="s">
        <v>608</v>
      </c>
      <c r="B33" s="68"/>
      <c r="C33" s="68"/>
      <c r="D33" s="68"/>
      <c r="E33" s="68"/>
      <c r="F33" s="68"/>
      <c r="G33" s="68"/>
      <c r="H33" s="68"/>
      <c r="I33" s="68"/>
      <c r="J33" s="68"/>
      <c r="K33" s="68"/>
      <c r="L33" s="68"/>
      <c r="M33" s="68"/>
      <c r="N33" s="68"/>
    </row>
    <row r="34" spans="1:14">
      <c r="A34" s="68" t="s">
        <v>609</v>
      </c>
      <c r="B34" s="68"/>
      <c r="C34" s="68"/>
      <c r="D34" s="68"/>
      <c r="E34" s="68"/>
      <c r="F34" s="68"/>
      <c r="G34" s="68"/>
      <c r="H34" s="68"/>
      <c r="I34" s="68"/>
      <c r="J34" s="68"/>
      <c r="K34" s="68"/>
      <c r="L34" s="68"/>
      <c r="M34" s="68"/>
      <c r="N34" s="68"/>
    </row>
    <row r="35" spans="1:14">
      <c r="A35" s="68" t="s">
        <v>610</v>
      </c>
      <c r="B35" s="68"/>
      <c r="C35" s="68"/>
      <c r="D35" s="68"/>
      <c r="E35" s="68"/>
      <c r="F35" s="68"/>
      <c r="G35" s="68"/>
      <c r="H35" s="68"/>
      <c r="I35" s="68"/>
      <c r="J35" s="68"/>
      <c r="K35" s="68"/>
      <c r="L35" s="68"/>
      <c r="M35" s="68"/>
      <c r="N35" s="68"/>
    </row>
    <row r="36" spans="1:14">
      <c r="A36" s="68" t="s">
        <v>611</v>
      </c>
      <c r="B36" s="68"/>
      <c r="C36" s="68"/>
      <c r="D36" s="68"/>
      <c r="E36" s="68"/>
      <c r="F36" s="68"/>
      <c r="G36" s="68"/>
      <c r="H36" s="68"/>
      <c r="I36" s="68"/>
      <c r="J36" s="68"/>
      <c r="K36" s="68"/>
      <c r="L36" s="68"/>
      <c r="M36" s="68"/>
      <c r="N36" s="68"/>
    </row>
    <row r="37" spans="1:14">
      <c r="A37" s="68" t="s">
        <v>612</v>
      </c>
      <c r="B37" s="68"/>
      <c r="C37" s="68"/>
      <c r="D37" s="68"/>
      <c r="E37" s="68"/>
      <c r="F37" s="68"/>
      <c r="G37" s="68"/>
      <c r="H37" s="68"/>
      <c r="I37" s="68"/>
      <c r="J37" s="68"/>
      <c r="K37" s="68"/>
      <c r="L37" s="68"/>
      <c r="M37" s="68"/>
      <c r="N37" s="68"/>
    </row>
    <row r="38" spans="1:14">
      <c r="A38" s="68" t="s">
        <v>613</v>
      </c>
      <c r="B38" s="68"/>
      <c r="C38" s="68"/>
      <c r="D38" s="68"/>
      <c r="E38" s="68"/>
      <c r="F38" s="68"/>
      <c r="G38" s="68"/>
      <c r="H38" s="68"/>
      <c r="I38" s="68"/>
      <c r="J38" s="68"/>
      <c r="K38" s="68"/>
      <c r="L38" s="68"/>
      <c r="M38" s="68"/>
      <c r="N38" s="68"/>
    </row>
    <row r="39" spans="1:14">
      <c r="A39" s="68" t="s">
        <v>621</v>
      </c>
      <c r="B39" s="68"/>
      <c r="C39" s="68"/>
      <c r="D39" s="68"/>
      <c r="E39" s="68"/>
      <c r="F39" s="68"/>
      <c r="G39" s="68"/>
      <c r="H39" s="68"/>
      <c r="I39" s="68"/>
      <c r="J39" s="68"/>
      <c r="K39" s="68"/>
      <c r="L39" s="68"/>
      <c r="M39" s="68"/>
      <c r="N39" s="68"/>
    </row>
  </sheetData>
  <phoneticPr fontId="2" type="noConversion"/>
  <pageMargins left="0.7" right="0.7" top="0.75" bottom="0.75" header="0.3" footer="0.3"/>
  <drawing r:id="rId1"/>
  <legacyDrawing r:id="rId2"/>
  <controls>
    <mc:AlternateContent xmlns:mc="http://schemas.openxmlformats.org/markup-compatibility/2006">
      <mc:Choice Requires="x14">
        <control shapeId="25601" r:id="rId3" name="CommandButton1">
          <controlPr defaultSize="0" autoLine="0" r:id="rId4">
            <anchor moveWithCells="1">
              <from>
                <xdr:col>2</xdr:col>
                <xdr:colOff>47625</xdr:colOff>
                <xdr:row>0</xdr:row>
                <xdr:rowOff>76200</xdr:rowOff>
              </from>
              <to>
                <xdr:col>4</xdr:col>
                <xdr:colOff>38100</xdr:colOff>
                <xdr:row>2</xdr:row>
                <xdr:rowOff>152400</xdr:rowOff>
              </to>
            </anchor>
          </controlPr>
        </control>
      </mc:Choice>
      <mc:Fallback>
        <control shapeId="25601" r:id="rId3"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SR"/>
  <dimension ref="A1:M1502"/>
  <sheetViews>
    <sheetView zoomScale="90" zoomScaleNormal="90" workbookViewId="0">
      <pane xSplit="7" ySplit="2" topLeftCell="H1336" activePane="bottomRight" state="frozen"/>
      <selection pane="topRight" activeCell="C1" sqref="C1"/>
      <selection pane="bottomLeft" activeCell="A2" sqref="A2"/>
      <selection pane="bottomRight" activeCell="E1339" sqref="E1339"/>
    </sheetView>
  </sheetViews>
  <sheetFormatPr defaultColWidth="9" defaultRowHeight="16.5"/>
  <cols>
    <col min="1" max="1" width="14.75" style="116" customWidth="1"/>
    <col min="2" max="2" width="14.375" style="91" customWidth="1"/>
    <col min="3" max="3" width="19.875" style="92" customWidth="1"/>
    <col min="4" max="4" width="19.875" style="94" customWidth="1"/>
    <col min="5" max="5" width="19.875" style="91" customWidth="1"/>
    <col min="6" max="7" width="19.875" style="93" customWidth="1"/>
    <col min="8" max="9" width="8.25" style="117" customWidth="1"/>
    <col min="10" max="16384" width="9" style="56"/>
  </cols>
  <sheetData>
    <row r="1" spans="1:13" ht="37.5" customHeight="1">
      <c r="A1" s="115" t="s">
        <v>287</v>
      </c>
      <c r="B1" s="98" t="s">
        <v>262</v>
      </c>
      <c r="C1" s="96" t="s">
        <v>283</v>
      </c>
      <c r="D1" s="97" t="s">
        <v>285</v>
      </c>
      <c r="E1" s="98" t="s">
        <v>282</v>
      </c>
      <c r="F1" s="99" t="s">
        <v>284</v>
      </c>
      <c r="G1" s="100" t="s">
        <v>286</v>
      </c>
      <c r="H1" s="118" t="s">
        <v>1081</v>
      </c>
      <c r="I1" s="118" t="s">
        <v>579</v>
      </c>
      <c r="K1" s="56" t="s">
        <v>1140</v>
      </c>
      <c r="L1" s="56" t="s">
        <v>1141</v>
      </c>
      <c r="M1" s="56" t="s">
        <v>1142</v>
      </c>
    </row>
    <row r="2" spans="1:13">
      <c r="A2" s="116">
        <v>1101</v>
      </c>
      <c r="B2" s="91">
        <v>0.61</v>
      </c>
      <c r="C2" s="92">
        <v>0.96690694626474438</v>
      </c>
      <c r="D2" s="94">
        <v>3677049180.3278689</v>
      </c>
      <c r="E2" s="91">
        <f>VLOOKUP(1101,收盤價!A:C,3,0)</f>
        <v>36.5</v>
      </c>
      <c r="F2" s="93">
        <v>134212295081.96721</v>
      </c>
      <c r="G2" s="95">
        <v>101549239000</v>
      </c>
      <c r="H2" s="117">
        <v>1.32</v>
      </c>
      <c r="I2" s="117">
        <v>15.47</v>
      </c>
      <c r="K2" s="56">
        <v>3</v>
      </c>
      <c r="L2" s="56">
        <v>2</v>
      </c>
      <c r="M2" s="56">
        <v>1</v>
      </c>
    </row>
    <row r="3" spans="1:13">
      <c r="A3" s="116">
        <v>1102</v>
      </c>
      <c r="B3" s="91">
        <v>0.94</v>
      </c>
      <c r="C3" s="92">
        <v>0.17053018131742023</v>
      </c>
      <c r="D3" s="94">
        <v>3073404255.319149</v>
      </c>
      <c r="E3" s="91">
        <f>VLOOKUP(1102,收盤價!A:C,3,0)</f>
        <v>34.35</v>
      </c>
      <c r="F3" s="93">
        <v>105571436170.21277</v>
      </c>
      <c r="G3" s="95">
        <v>70563488000</v>
      </c>
      <c r="H3" s="117">
        <v>1.5</v>
      </c>
      <c r="I3" s="117">
        <v>53.57</v>
      </c>
    </row>
    <row r="4" spans="1:13">
      <c r="A4" s="116">
        <v>1456</v>
      </c>
      <c r="B4" s="91">
        <v>-0.1</v>
      </c>
      <c r="C4" s="92">
        <v>0.23255813953488372</v>
      </c>
      <c r="D4" s="94">
        <v>210000000</v>
      </c>
      <c r="E4" s="91">
        <f>VLOOKUP(1456,收盤價!A:C,3,0)</f>
        <v>0</v>
      </c>
      <c r="F4" s="93">
        <v>0</v>
      </c>
      <c r="G4" s="93">
        <v>659608000</v>
      </c>
      <c r="H4" s="117">
        <v>0</v>
      </c>
      <c r="I4" s="117">
        <v>0</v>
      </c>
    </row>
    <row r="5" spans="1:13">
      <c r="A5" s="116">
        <v>1613</v>
      </c>
      <c r="B5" s="91">
        <v>-0.15</v>
      </c>
      <c r="C5" s="92">
        <v>0</v>
      </c>
      <c r="D5" s="94">
        <v>226666666.66666669</v>
      </c>
      <c r="E5" s="91">
        <f>VLOOKUP(1613,收盤價!A:C,3,0)</f>
        <v>3.34</v>
      </c>
      <c r="F5" s="93">
        <v>757066666.66666675</v>
      </c>
      <c r="G5" s="93">
        <v>38360477000</v>
      </c>
      <c r="H5" s="117">
        <v>0.02</v>
      </c>
      <c r="I5" s="117">
        <v>0</v>
      </c>
    </row>
    <row r="6" spans="1:13">
      <c r="A6" s="116">
        <v>2028</v>
      </c>
      <c r="B6" s="91">
        <v>-0.65</v>
      </c>
      <c r="C6" s="92">
        <v>0.89485981308411211</v>
      </c>
      <c r="D6" s="94">
        <v>343076923.07692307</v>
      </c>
      <c r="E6" s="91">
        <f>VLOOKUP(2028,收盤價!A:C,3,0)</f>
        <v>1.4</v>
      </c>
      <c r="F6" s="93">
        <v>480307692.30769229</v>
      </c>
      <c r="G6" s="93">
        <v>7698770000</v>
      </c>
      <c r="H6" s="117">
        <v>0.06</v>
      </c>
      <c r="I6" s="117">
        <v>0</v>
      </c>
    </row>
    <row r="7" spans="1:13">
      <c r="A7" s="116">
        <v>8112</v>
      </c>
      <c r="B7" s="91">
        <v>0.28999999999999998</v>
      </c>
      <c r="C7" s="92">
        <v>0.86861313868613144</v>
      </c>
      <c r="D7" s="94">
        <v>293103448.2758621</v>
      </c>
      <c r="E7" s="91">
        <f>VLOOKUP(8112,收盤價!A:C,3,0)</f>
        <v>14</v>
      </c>
      <c r="F7" s="93">
        <v>4103448275.8620691</v>
      </c>
      <c r="G7" s="93">
        <v>67046958000</v>
      </c>
      <c r="H7" s="117">
        <v>0.06</v>
      </c>
      <c r="I7" s="117">
        <v>13.89</v>
      </c>
    </row>
    <row r="8" spans="1:13" ht="17.25" customHeight="1">
      <c r="A8" s="116">
        <v>2321</v>
      </c>
      <c r="B8" s="91">
        <v>-0.15</v>
      </c>
      <c r="C8" s="92">
        <v>1</v>
      </c>
      <c r="D8" s="94">
        <v>286666666.66666669</v>
      </c>
      <c r="E8" s="91">
        <f>VLOOKUP(2321,收盤價!A:C,3,0)</f>
        <v>1.56</v>
      </c>
      <c r="F8" s="93">
        <v>447200000.00000006</v>
      </c>
      <c r="G8" s="93">
        <v>4214028000</v>
      </c>
      <c r="H8" s="117">
        <v>0.11</v>
      </c>
      <c r="I8" s="117">
        <v>0</v>
      </c>
    </row>
    <row r="9" spans="1:13">
      <c r="A9" s="116">
        <v>5469</v>
      </c>
      <c r="B9" s="91">
        <v>0.16</v>
      </c>
      <c r="C9" s="92">
        <v>0</v>
      </c>
      <c r="D9" s="94">
        <v>456250000</v>
      </c>
      <c r="E9" s="91">
        <f>VLOOKUP(5469,收盤價!A:C,3,0)</f>
        <v>9.6</v>
      </c>
      <c r="F9" s="93">
        <v>4380000000</v>
      </c>
      <c r="G9" s="93">
        <v>42297152000</v>
      </c>
      <c r="H9" s="117">
        <v>0.1</v>
      </c>
      <c r="I9" s="117">
        <v>0</v>
      </c>
    </row>
    <row r="10" spans="1:13">
      <c r="A10" s="116">
        <v>1785</v>
      </c>
      <c r="B10" s="91">
        <v>0.27</v>
      </c>
      <c r="C10" s="92">
        <v>0</v>
      </c>
      <c r="D10" s="94">
        <v>411111111.1111111</v>
      </c>
      <c r="E10" s="91">
        <f>VLOOKUP(1785,收盤價!A:C,3,0)</f>
        <v>21.1</v>
      </c>
      <c r="F10" s="93">
        <v>8674444444.4444447</v>
      </c>
      <c r="G10" s="93">
        <v>65392154000</v>
      </c>
      <c r="H10" s="117">
        <v>0.13</v>
      </c>
      <c r="I10" s="117">
        <v>0</v>
      </c>
    </row>
    <row r="11" spans="1:13">
      <c r="A11" s="116">
        <v>3028</v>
      </c>
      <c r="B11" s="91">
        <v>0.27</v>
      </c>
      <c r="C11" s="92">
        <v>1</v>
      </c>
      <c r="D11" s="94">
        <v>211111111.1111111</v>
      </c>
      <c r="E11" s="91">
        <f>VLOOKUP(3028,收盤價!A:C,3,0)</f>
        <v>16.05</v>
      </c>
      <c r="F11" s="93">
        <v>3388333333.3333335</v>
      </c>
      <c r="G11" s="93">
        <v>24470091000</v>
      </c>
      <c r="H11" s="117">
        <v>0.14000000000000001</v>
      </c>
      <c r="I11" s="117">
        <v>14.86</v>
      </c>
    </row>
    <row r="12" spans="1:13">
      <c r="A12" s="116">
        <v>1213</v>
      </c>
      <c r="B12" s="91">
        <v>0</v>
      </c>
      <c r="C12" s="92">
        <v>0</v>
      </c>
      <c r="D12" s="94">
        <v>0</v>
      </c>
      <c r="E12" s="91">
        <f>VLOOKUP(1213,收盤價!A:C,3,0)</f>
        <v>15.7</v>
      </c>
      <c r="F12" s="93">
        <v>0</v>
      </c>
      <c r="G12" s="95">
        <v>737945000</v>
      </c>
      <c r="H12" s="117">
        <v>0</v>
      </c>
      <c r="I12" s="117">
        <v>0</v>
      </c>
    </row>
    <row r="13" spans="1:13">
      <c r="A13" s="116">
        <v>3033</v>
      </c>
      <c r="B13" s="91">
        <v>0.4</v>
      </c>
      <c r="C13" s="92">
        <v>1</v>
      </c>
      <c r="D13" s="94">
        <v>272500000</v>
      </c>
      <c r="E13" s="91">
        <f>VLOOKUP(3033,收盤價!A:C,3,0)</f>
        <v>19.55</v>
      </c>
      <c r="F13" s="93">
        <v>5327375000</v>
      </c>
      <c r="G13" s="93">
        <v>38248804000</v>
      </c>
      <c r="H13" s="117">
        <v>0.14000000000000001</v>
      </c>
      <c r="I13" s="117">
        <v>12.22</v>
      </c>
    </row>
    <row r="14" spans="1:13">
      <c r="A14" s="116">
        <v>1216</v>
      </c>
      <c r="B14" s="91">
        <v>0.81</v>
      </c>
      <c r="C14" s="92">
        <v>0.45949352583934916</v>
      </c>
      <c r="D14" s="94">
        <v>5466666666.666666</v>
      </c>
      <c r="E14" s="91">
        <f>VLOOKUP(1216,收盤價!A:C,3,0)</f>
        <v>56.9</v>
      </c>
      <c r="F14" s="93">
        <v>311053333333.33331</v>
      </c>
      <c r="G14" s="95">
        <v>418508717000</v>
      </c>
      <c r="H14" s="117">
        <v>0.74</v>
      </c>
      <c r="I14" s="117">
        <v>38.22</v>
      </c>
    </row>
    <row r="15" spans="1:13">
      <c r="A15" s="116">
        <v>3036</v>
      </c>
      <c r="B15" s="91">
        <v>1.0900000000000001</v>
      </c>
      <c r="C15" s="92">
        <v>1</v>
      </c>
      <c r="D15" s="94">
        <v>447706422.01834857</v>
      </c>
      <c r="E15" s="91">
        <f>VLOOKUP(3036,收盤價!A:C,3,0)</f>
        <v>36.25</v>
      </c>
      <c r="F15" s="93">
        <v>16229357798.165136</v>
      </c>
      <c r="G15" s="93">
        <v>116577688000</v>
      </c>
      <c r="H15" s="117">
        <v>0.14000000000000001</v>
      </c>
      <c r="I15" s="117">
        <v>8.31</v>
      </c>
    </row>
    <row r="16" spans="1:13">
      <c r="A16" s="116">
        <v>2516</v>
      </c>
      <c r="B16" s="91">
        <v>0.1</v>
      </c>
      <c r="C16" s="92">
        <v>1</v>
      </c>
      <c r="D16" s="94">
        <v>220000000</v>
      </c>
      <c r="E16" s="91">
        <f>VLOOKUP(2516,收盤價!A:C,3,0)</f>
        <v>6.73</v>
      </c>
      <c r="F16" s="93">
        <v>1480600000</v>
      </c>
      <c r="G16" s="93">
        <v>10584924000</v>
      </c>
      <c r="H16" s="117">
        <v>0.14000000000000001</v>
      </c>
      <c r="I16" s="117">
        <v>16.82</v>
      </c>
    </row>
    <row r="17" spans="1:9">
      <c r="A17" s="116">
        <v>1309</v>
      </c>
      <c r="B17" s="91">
        <v>0.57999999999999996</v>
      </c>
      <c r="C17" s="92">
        <v>1</v>
      </c>
      <c r="D17" s="94">
        <v>327586206.89655173</v>
      </c>
      <c r="E17" s="91">
        <f>VLOOKUP(1309,收盤價!A:C,3,0)</f>
        <v>9.1</v>
      </c>
      <c r="F17" s="93">
        <v>2981034482.7586207</v>
      </c>
      <c r="G17" s="93">
        <v>18871540000</v>
      </c>
      <c r="H17" s="117">
        <v>0.16</v>
      </c>
      <c r="I17" s="117">
        <v>3.92</v>
      </c>
    </row>
    <row r="18" spans="1:9">
      <c r="A18" s="116">
        <v>1220</v>
      </c>
      <c r="B18" s="91">
        <v>0.17</v>
      </c>
      <c r="C18" s="92">
        <v>0.72413793103448276</v>
      </c>
      <c r="D18" s="94">
        <v>182352941.17647058</v>
      </c>
      <c r="E18" s="91">
        <f>VLOOKUP(1220,收盤價!A:C,3,0)</f>
        <v>9.7799999999999994</v>
      </c>
      <c r="F18" s="93">
        <v>1783411764.7058821</v>
      </c>
      <c r="G18" s="93">
        <v>3719918000</v>
      </c>
      <c r="H18" s="117">
        <v>0.48</v>
      </c>
      <c r="I18" s="117">
        <v>19.86</v>
      </c>
    </row>
    <row r="19" spans="1:9">
      <c r="A19" s="116">
        <v>6191</v>
      </c>
      <c r="B19" s="91">
        <v>0.14000000000000001</v>
      </c>
      <c r="C19" s="92">
        <v>1</v>
      </c>
      <c r="D19" s="94">
        <v>521428571.4285714</v>
      </c>
      <c r="E19" s="91">
        <f>VLOOKUP(6191,收盤價!A:C,3,0)</f>
        <v>7.14</v>
      </c>
      <c r="F19" s="93">
        <v>3722999999.9999995</v>
      </c>
      <c r="G19" s="93">
        <v>24460852000</v>
      </c>
      <c r="H19" s="117">
        <v>0.15</v>
      </c>
      <c r="I19" s="117">
        <v>12.75</v>
      </c>
    </row>
    <row r="20" spans="1:9">
      <c r="A20" s="116">
        <v>1210</v>
      </c>
      <c r="B20" s="91">
        <v>0.14000000000000001</v>
      </c>
      <c r="C20" s="92">
        <v>1</v>
      </c>
      <c r="D20" s="94">
        <v>699999999.99999988</v>
      </c>
      <c r="E20" s="91">
        <f>VLOOKUP(1210,收盤價!A:C,3,0)</f>
        <v>20.100000000000001</v>
      </c>
      <c r="F20" s="93">
        <v>14069999999.999998</v>
      </c>
      <c r="G20" s="93">
        <v>84652405000</v>
      </c>
      <c r="H20" s="117">
        <v>0.17</v>
      </c>
      <c r="I20" s="117">
        <v>35.89</v>
      </c>
    </row>
    <row r="21" spans="1:9">
      <c r="A21" s="116">
        <v>1229</v>
      </c>
      <c r="B21" s="91">
        <v>0.84</v>
      </c>
      <c r="C21" s="92">
        <v>7.1213640922768301E-2</v>
      </c>
      <c r="D21" s="94">
        <v>851190476.19047618</v>
      </c>
      <c r="E21" s="91">
        <f>VLOOKUP(1229,收盤價!A:C,3,0)</f>
        <v>19.75</v>
      </c>
      <c r="F21" s="93">
        <v>16811011904.761904</v>
      </c>
      <c r="G21" s="93">
        <v>5285053000</v>
      </c>
      <c r="H21" s="117">
        <v>3.18</v>
      </c>
      <c r="I21" s="117">
        <v>82.54</v>
      </c>
    </row>
    <row r="22" spans="1:9">
      <c r="A22" s="116">
        <v>1231</v>
      </c>
      <c r="B22" s="91">
        <v>0.21</v>
      </c>
      <c r="C22" s="92">
        <v>0.79844961240310075</v>
      </c>
      <c r="D22" s="94">
        <v>147619047.61904761</v>
      </c>
      <c r="E22" s="91">
        <f>VLOOKUP(1231,收盤價!A:C,3,0)</f>
        <v>27.9</v>
      </c>
      <c r="F22" s="93">
        <v>4118571428.5714283</v>
      </c>
      <c r="G22" s="93">
        <v>6416394000</v>
      </c>
      <c r="H22" s="117">
        <v>0.64</v>
      </c>
      <c r="I22" s="117">
        <v>41.6</v>
      </c>
    </row>
    <row r="23" spans="1:9">
      <c r="A23" s="116">
        <v>1232</v>
      </c>
      <c r="B23" s="91">
        <v>1.1000000000000001</v>
      </c>
      <c r="C23" s="92">
        <v>1</v>
      </c>
      <c r="D23" s="94">
        <v>160909090.90909091</v>
      </c>
      <c r="E23" s="91">
        <f>VLOOKUP(1232,收盤價!A:C,3,0)</f>
        <v>73.5</v>
      </c>
      <c r="F23" s="93">
        <v>11826818181.818182</v>
      </c>
      <c r="G23" s="93">
        <v>19171484000</v>
      </c>
      <c r="H23" s="117">
        <v>0.62</v>
      </c>
      <c r="I23" s="117">
        <v>16.7</v>
      </c>
    </row>
    <row r="24" spans="1:9">
      <c r="A24" s="116">
        <v>1233</v>
      </c>
      <c r="B24" s="91">
        <v>0.37</v>
      </c>
      <c r="C24" s="92">
        <v>0.8936170212765957</v>
      </c>
      <c r="D24" s="94">
        <v>91891891.891891897</v>
      </c>
      <c r="E24" s="91">
        <f>VLOOKUP(1233,收盤價!A:C,3,0)</f>
        <v>39</v>
      </c>
      <c r="F24" s="93">
        <v>3583783783.7837839</v>
      </c>
      <c r="G24" s="93">
        <v>2125056000</v>
      </c>
      <c r="H24" s="117">
        <v>1.69</v>
      </c>
      <c r="I24" s="117">
        <v>29.49</v>
      </c>
    </row>
    <row r="25" spans="1:9">
      <c r="A25" s="116">
        <v>8101</v>
      </c>
      <c r="B25" s="91">
        <v>-0.21</v>
      </c>
      <c r="C25" s="92">
        <v>0.25974025974025972</v>
      </c>
      <c r="D25" s="94">
        <v>414285714.28571433</v>
      </c>
      <c r="E25" s="91">
        <f>VLOOKUP(8101,收盤價!A:C,3,0)</f>
        <v>9.14</v>
      </c>
      <c r="F25" s="93">
        <v>3786571428.5714293</v>
      </c>
      <c r="G25" s="93">
        <v>24143302000</v>
      </c>
      <c r="H25" s="117">
        <v>0.16</v>
      </c>
      <c r="I25" s="117">
        <v>0</v>
      </c>
    </row>
    <row r="26" spans="1:9">
      <c r="A26" s="116">
        <v>1235</v>
      </c>
      <c r="B26" s="91">
        <v>-0.55000000000000004</v>
      </c>
      <c r="C26" s="92">
        <v>0.28125</v>
      </c>
      <c r="D26" s="94">
        <v>58181818.18181818</v>
      </c>
      <c r="E26" s="91">
        <f>VLOOKUP(1235,收盤價!A:C,3,0)</f>
        <v>18.2</v>
      </c>
      <c r="F26" s="93">
        <v>1058909090.9090909</v>
      </c>
      <c r="G26" s="93">
        <v>114114000</v>
      </c>
      <c r="H26" s="117">
        <v>9.2799999999999994</v>
      </c>
      <c r="I26" s="117">
        <v>0</v>
      </c>
    </row>
    <row r="27" spans="1:9">
      <c r="A27" s="116">
        <v>1236</v>
      </c>
      <c r="B27" s="91">
        <v>-0.23</v>
      </c>
      <c r="C27" s="92">
        <v>0.89583333333333337</v>
      </c>
      <c r="D27" s="94">
        <v>108695652.17391303</v>
      </c>
      <c r="E27" s="91">
        <f>VLOOKUP(1236,收盤價!A:C,3,0)</f>
        <v>21.65</v>
      </c>
      <c r="F27" s="93">
        <v>2353260869.565217</v>
      </c>
      <c r="G27" s="93">
        <v>2262104000</v>
      </c>
      <c r="H27" s="117">
        <v>1.04</v>
      </c>
      <c r="I27" s="117">
        <v>0</v>
      </c>
    </row>
    <row r="28" spans="1:9">
      <c r="A28" s="116">
        <v>1256</v>
      </c>
      <c r="B28" s="91">
        <v>3.02</v>
      </c>
      <c r="C28" s="92">
        <v>0.98449612403100772</v>
      </c>
      <c r="D28" s="94">
        <v>27152317.8807947</v>
      </c>
      <c r="E28" s="91">
        <f>VLOOKUP(1256,收盤價!A:C,3,0)</f>
        <v>155.5</v>
      </c>
      <c r="F28" s="93">
        <v>4222185430.4635758</v>
      </c>
      <c r="G28" s="93">
        <v>2280381000</v>
      </c>
      <c r="H28" s="117">
        <v>1.85</v>
      </c>
      <c r="I28" s="117">
        <v>13.08</v>
      </c>
    </row>
    <row r="29" spans="1:9">
      <c r="A29" s="116">
        <v>1258</v>
      </c>
      <c r="B29" s="91">
        <v>0.95</v>
      </c>
      <c r="C29" s="92">
        <v>0.90476190476190477</v>
      </c>
      <c r="D29" s="94">
        <v>33684210.526315793</v>
      </c>
      <c r="E29" s="91">
        <f>VLOOKUP(1258,收盤價!A:C,3,0)</f>
        <v>43</v>
      </c>
      <c r="F29" s="93">
        <v>1448421052.6315792</v>
      </c>
      <c r="G29" s="93">
        <v>1554854000</v>
      </c>
      <c r="H29" s="117">
        <v>0.93</v>
      </c>
      <c r="I29" s="117">
        <v>12.51</v>
      </c>
    </row>
    <row r="30" spans="1:9">
      <c r="A30" s="116">
        <v>1259</v>
      </c>
      <c r="B30" s="91">
        <v>1.07</v>
      </c>
      <c r="C30" s="92">
        <v>1</v>
      </c>
      <c r="D30" s="94">
        <v>32710280.373831775</v>
      </c>
      <c r="E30" s="91">
        <f>VLOOKUP(1259,收盤價!A:C,3,0)</f>
        <v>59.5</v>
      </c>
      <c r="F30" s="93">
        <v>1946261682.2429907</v>
      </c>
      <c r="G30" s="93">
        <v>4317281000</v>
      </c>
      <c r="H30" s="117">
        <v>0.45</v>
      </c>
      <c r="I30" s="117">
        <v>13.9</v>
      </c>
    </row>
    <row r="31" spans="1:9">
      <c r="A31" s="116">
        <v>1262</v>
      </c>
      <c r="B31" s="91">
        <v>2.68</v>
      </c>
      <c r="C31" s="92">
        <v>1</v>
      </c>
      <c r="D31" s="94">
        <v>148507462.68656716</v>
      </c>
      <c r="E31" s="91">
        <f>VLOOKUP(1262,收盤價!A:C,3,0)</f>
        <v>123.5</v>
      </c>
      <c r="F31" s="93">
        <v>18340671641.791042</v>
      </c>
      <c r="G31" s="93">
        <v>6195607000</v>
      </c>
      <c r="H31" s="117">
        <v>2.96</v>
      </c>
      <c r="I31" s="117">
        <v>11.52</v>
      </c>
    </row>
    <row r="32" spans="1:9">
      <c r="A32" s="116">
        <v>1264</v>
      </c>
      <c r="B32" s="91">
        <v>3.09</v>
      </c>
      <c r="C32" s="92">
        <v>1</v>
      </c>
      <c r="D32" s="94">
        <v>30420711.974110033</v>
      </c>
      <c r="E32" s="91">
        <f>VLOOKUP(1264,收盤價!A:C,3,0)</f>
        <v>192</v>
      </c>
      <c r="F32" s="93">
        <v>5840776699.0291262</v>
      </c>
      <c r="G32" s="93">
        <v>3766172000</v>
      </c>
      <c r="H32" s="117">
        <v>1.55</v>
      </c>
      <c r="I32" s="117">
        <v>15.53</v>
      </c>
    </row>
    <row r="33" spans="1:9">
      <c r="A33" s="116">
        <v>1301</v>
      </c>
      <c r="B33" s="91">
        <v>1.71</v>
      </c>
      <c r="C33" s="92">
        <v>0.28659083074801794</v>
      </c>
      <c r="D33" s="94">
        <v>6351461988.3040934</v>
      </c>
      <c r="E33" s="91">
        <f>VLOOKUP(1301,收盤價!A:C,3,0)</f>
        <v>75.099999999999994</v>
      </c>
      <c r="F33" s="93">
        <v>476994795321.63739</v>
      </c>
      <c r="G33" s="93">
        <v>197063237000</v>
      </c>
      <c r="H33" s="117">
        <v>2.42</v>
      </c>
      <c r="I33" s="117">
        <v>38.31</v>
      </c>
    </row>
    <row r="34" spans="1:9">
      <c r="A34" s="116">
        <v>1303</v>
      </c>
      <c r="B34" s="91">
        <v>1.58</v>
      </c>
      <c r="C34" s="92">
        <v>0.44236395552954944</v>
      </c>
      <c r="D34" s="94">
        <v>7948101265.8227844</v>
      </c>
      <c r="E34" s="91">
        <f>VLOOKUP(1303,收盤價!A:C,3,0)</f>
        <v>65.400000000000006</v>
      </c>
      <c r="F34" s="93">
        <v>519805822784.81012</v>
      </c>
      <c r="G34" s="93">
        <v>316062209000</v>
      </c>
      <c r="H34" s="117">
        <v>1.64</v>
      </c>
      <c r="I34" s="117">
        <v>23.39</v>
      </c>
    </row>
    <row r="35" spans="1:9">
      <c r="A35" s="116">
        <v>1304</v>
      </c>
      <c r="B35" s="91">
        <v>0.31</v>
      </c>
      <c r="C35" s="92">
        <v>0.81349206349206349</v>
      </c>
      <c r="D35" s="94">
        <v>1019354838.7096775</v>
      </c>
      <c r="E35" s="91">
        <f>VLOOKUP(1304,收盤價!A:C,3,0)</f>
        <v>13.35</v>
      </c>
      <c r="F35" s="93">
        <v>13608387096.774193</v>
      </c>
      <c r="G35" s="93">
        <v>54202278000</v>
      </c>
      <c r="H35" s="117">
        <v>0.25</v>
      </c>
      <c r="I35" s="117">
        <v>13.23</v>
      </c>
    </row>
    <row r="36" spans="1:9">
      <c r="A36" s="116">
        <v>1609</v>
      </c>
      <c r="B36" s="91">
        <v>-0.24</v>
      </c>
      <c r="C36" s="92">
        <v>0.97297297297297303</v>
      </c>
      <c r="D36" s="94">
        <v>570833333.33333337</v>
      </c>
      <c r="E36" s="91">
        <f>VLOOKUP(1609,收盤價!A:C,3,0)</f>
        <v>4.74</v>
      </c>
      <c r="F36" s="93">
        <v>2705750000.0000005</v>
      </c>
      <c r="G36" s="93">
        <v>15564416000</v>
      </c>
      <c r="H36" s="117">
        <v>0.17</v>
      </c>
      <c r="I36" s="117">
        <v>0</v>
      </c>
    </row>
    <row r="37" spans="1:9">
      <c r="A37" s="116">
        <v>3024</v>
      </c>
      <c r="B37" s="91">
        <v>-0.14000000000000001</v>
      </c>
      <c r="C37" s="92">
        <v>1</v>
      </c>
      <c r="D37" s="94">
        <v>285714285.71428567</v>
      </c>
      <c r="E37" s="91">
        <f>VLOOKUP(3024,收盤價!A:C,3,0)</f>
        <v>4.66</v>
      </c>
      <c r="F37" s="93">
        <v>1331428571.4285712</v>
      </c>
      <c r="G37" s="93">
        <v>5956160000</v>
      </c>
      <c r="H37" s="117">
        <v>0.22</v>
      </c>
      <c r="I37" s="117">
        <v>0</v>
      </c>
    </row>
    <row r="38" spans="1:9">
      <c r="A38" s="116">
        <v>2025</v>
      </c>
      <c r="B38" s="91">
        <v>-0.31</v>
      </c>
      <c r="C38" s="92">
        <v>1</v>
      </c>
      <c r="D38" s="94">
        <v>280645161.2903226</v>
      </c>
      <c r="E38" s="91">
        <f>VLOOKUP(2025,收盤價!A:C,3,0)</f>
        <v>3.21</v>
      </c>
      <c r="F38" s="93">
        <v>900870967.74193549</v>
      </c>
      <c r="G38" s="93">
        <v>3969933000</v>
      </c>
      <c r="H38" s="117">
        <v>0.23</v>
      </c>
      <c r="I38" s="117">
        <v>0</v>
      </c>
    </row>
    <row r="39" spans="1:9">
      <c r="A39" s="116">
        <v>2030</v>
      </c>
      <c r="B39" s="91">
        <v>-0.08</v>
      </c>
      <c r="C39" s="92">
        <v>1</v>
      </c>
      <c r="D39" s="94">
        <v>275000000</v>
      </c>
      <c r="E39" s="91">
        <f>VLOOKUP(2030,收盤價!A:C,3,0)</f>
        <v>10.15</v>
      </c>
      <c r="F39" s="93">
        <v>2791250000</v>
      </c>
      <c r="G39" s="93">
        <v>12678670000</v>
      </c>
      <c r="H39" s="117">
        <v>0.22</v>
      </c>
      <c r="I39" s="117">
        <v>0</v>
      </c>
    </row>
    <row r="40" spans="1:9">
      <c r="A40" s="116">
        <v>3701</v>
      </c>
      <c r="B40" s="91">
        <v>-0.4</v>
      </c>
      <c r="C40" s="92">
        <v>1</v>
      </c>
      <c r="D40" s="94">
        <v>320000000</v>
      </c>
      <c r="E40" s="91">
        <f>VLOOKUP(3701,收盤價!A:C,3,0)</f>
        <v>8.39</v>
      </c>
      <c r="F40" s="93">
        <v>2684800000</v>
      </c>
      <c r="G40" s="93">
        <v>13449628000</v>
      </c>
      <c r="H40" s="117">
        <v>0.2</v>
      </c>
      <c r="I40" s="117">
        <v>0</v>
      </c>
    </row>
    <row r="41" spans="1:9">
      <c r="A41" s="116">
        <v>1312</v>
      </c>
      <c r="B41" s="91">
        <v>0.96</v>
      </c>
      <c r="C41" s="92">
        <v>0.77901977644024079</v>
      </c>
      <c r="D41" s="94">
        <v>906250000</v>
      </c>
      <c r="E41" s="91">
        <f>VLOOKUP(1312,收盤價!A:C,3,0)</f>
        <v>15.55</v>
      </c>
      <c r="F41" s="93">
        <v>14092187500</v>
      </c>
      <c r="G41" s="93">
        <v>22068352000</v>
      </c>
      <c r="H41" s="117">
        <v>0.64</v>
      </c>
      <c r="I41" s="117">
        <v>5.2</v>
      </c>
    </row>
    <row r="42" spans="1:9">
      <c r="A42" s="116">
        <v>1313</v>
      </c>
      <c r="B42" s="91">
        <v>0.41</v>
      </c>
      <c r="C42" s="92">
        <v>0.19607843137254902</v>
      </c>
      <c r="D42" s="94">
        <v>1156097560.9756098</v>
      </c>
      <c r="E42" s="91">
        <f>VLOOKUP(1313,收盤價!A:C,3,0)</f>
        <v>9.89</v>
      </c>
      <c r="F42" s="93">
        <v>11433804878.04878</v>
      </c>
      <c r="G42" s="93">
        <v>47168982000</v>
      </c>
      <c r="H42" s="117">
        <v>0.24</v>
      </c>
      <c r="I42" s="117">
        <v>30.76</v>
      </c>
    </row>
    <row r="43" spans="1:9">
      <c r="A43" s="116">
        <v>1314</v>
      </c>
      <c r="B43" s="91">
        <v>0.15</v>
      </c>
      <c r="C43" s="92">
        <v>0</v>
      </c>
      <c r="D43" s="94">
        <v>2360000000</v>
      </c>
      <c r="E43" s="91">
        <f>VLOOKUP(1314,收盤價!A:C,3,0)</f>
        <v>8.91</v>
      </c>
      <c r="F43" s="93">
        <v>21027600000</v>
      </c>
      <c r="G43" s="93">
        <v>29902896000</v>
      </c>
      <c r="H43" s="117">
        <v>0.7</v>
      </c>
      <c r="I43" s="117">
        <v>0</v>
      </c>
    </row>
    <row r="44" spans="1:9">
      <c r="A44" s="116">
        <v>1315</v>
      </c>
      <c r="B44" s="91">
        <v>0.14000000000000001</v>
      </c>
      <c r="C44" s="92">
        <v>0.6875</v>
      </c>
      <c r="D44" s="94">
        <v>185714285.7142857</v>
      </c>
      <c r="E44" s="91">
        <f>VLOOKUP(1315,收盤價!A:C,3,0)</f>
        <v>23.2</v>
      </c>
      <c r="F44" s="93">
        <v>4308571428.5714283</v>
      </c>
      <c r="G44" s="93">
        <v>2843324000</v>
      </c>
      <c r="H44" s="117">
        <v>1.52</v>
      </c>
      <c r="I44" s="117">
        <v>60.26</v>
      </c>
    </row>
    <row r="45" spans="1:9">
      <c r="A45" s="116">
        <v>1316</v>
      </c>
      <c r="B45" s="91">
        <v>-0.11</v>
      </c>
      <c r="C45" s="92">
        <v>0.9178082191780822</v>
      </c>
      <c r="D45" s="94">
        <v>154545454.54545453</v>
      </c>
      <c r="E45" s="91">
        <f>VLOOKUP(1316,收盤價!A:C,3,0)</f>
        <v>10.050000000000001</v>
      </c>
      <c r="F45" s="93">
        <v>1553181818.1818182</v>
      </c>
      <c r="G45" s="93">
        <v>882637000</v>
      </c>
      <c r="H45" s="117">
        <v>1.76</v>
      </c>
      <c r="I45" s="117">
        <v>0</v>
      </c>
    </row>
    <row r="46" spans="1:9">
      <c r="A46" s="116">
        <v>8053</v>
      </c>
      <c r="B46" s="91">
        <v>-0.19</v>
      </c>
      <c r="C46" s="92">
        <v>1</v>
      </c>
      <c r="D46" s="94">
        <v>415789473.68421054</v>
      </c>
      <c r="E46" s="91">
        <f>VLOOKUP(8053,收盤價!A:C,3,0)</f>
        <v>1.7</v>
      </c>
      <c r="F46" s="93">
        <v>706842105.26315784</v>
      </c>
      <c r="G46" s="93">
        <v>3883398000</v>
      </c>
      <c r="H46" s="117">
        <v>0.18</v>
      </c>
      <c r="I46" s="117">
        <v>0</v>
      </c>
    </row>
    <row r="47" spans="1:9">
      <c r="A47" s="116">
        <v>2457</v>
      </c>
      <c r="B47" s="91">
        <v>-0.92</v>
      </c>
      <c r="C47" s="92">
        <v>1</v>
      </c>
      <c r="D47" s="94">
        <v>276086956.52173913</v>
      </c>
      <c r="E47" s="91">
        <f>VLOOKUP(2457,收盤價!A:C,3,0)</f>
        <v>10.15</v>
      </c>
      <c r="F47" s="93">
        <v>2802282608.695652</v>
      </c>
      <c r="G47" s="93">
        <v>11117133000</v>
      </c>
      <c r="H47" s="117">
        <v>0.25</v>
      </c>
      <c r="I47" s="117">
        <v>0</v>
      </c>
    </row>
    <row r="48" spans="1:9">
      <c r="A48" s="116">
        <v>1323</v>
      </c>
      <c r="B48" s="91">
        <v>0.44</v>
      </c>
      <c r="C48" s="92">
        <v>1</v>
      </c>
      <c r="D48" s="94">
        <v>90909090.909090906</v>
      </c>
      <c r="E48" s="91">
        <f>VLOOKUP(1323,收盤價!A:C,3,0)</f>
        <v>26.65</v>
      </c>
      <c r="F48" s="93">
        <v>2422727272.7272725</v>
      </c>
      <c r="G48" s="93">
        <v>3226760000</v>
      </c>
      <c r="H48" s="117">
        <v>0.75</v>
      </c>
      <c r="I48" s="117">
        <v>15.14</v>
      </c>
    </row>
    <row r="49" spans="1:9">
      <c r="A49" s="116">
        <v>1324</v>
      </c>
      <c r="B49" s="91">
        <v>0.2</v>
      </c>
      <c r="C49" s="92">
        <v>0.95454545454545459</v>
      </c>
      <c r="D49" s="94">
        <v>75000000</v>
      </c>
      <c r="E49" s="91">
        <f>VLOOKUP(1324,收盤價!A:C,3,0)</f>
        <v>11.75</v>
      </c>
      <c r="F49" s="93">
        <v>881250000</v>
      </c>
      <c r="G49" s="93">
        <v>1324054000</v>
      </c>
      <c r="H49" s="117">
        <v>0.67</v>
      </c>
      <c r="I49" s="117">
        <v>15.39</v>
      </c>
    </row>
    <row r="50" spans="1:9">
      <c r="A50" s="116">
        <v>1325</v>
      </c>
      <c r="B50" s="91">
        <v>0.17</v>
      </c>
      <c r="C50" s="92">
        <v>1</v>
      </c>
      <c r="D50" s="94">
        <v>100000000</v>
      </c>
      <c r="E50" s="91">
        <f>VLOOKUP(1325,收盤價!A:C,3,0)</f>
        <v>20.149999999999999</v>
      </c>
      <c r="F50" s="93">
        <v>2014999999.9999998</v>
      </c>
      <c r="G50" s="93">
        <v>1179582000</v>
      </c>
      <c r="H50" s="117">
        <v>1.71</v>
      </c>
      <c r="I50" s="117">
        <v>29.63</v>
      </c>
    </row>
    <row r="51" spans="1:9">
      <c r="A51" s="116">
        <v>1326</v>
      </c>
      <c r="B51" s="91">
        <v>2.09</v>
      </c>
      <c r="C51" s="92">
        <v>0.59390751698444011</v>
      </c>
      <c r="D51" s="94">
        <v>5838277511.9617233</v>
      </c>
      <c r="E51" s="91">
        <f>VLOOKUP(1326,收盤價!A:C,3,0)</f>
        <v>74.400000000000006</v>
      </c>
      <c r="F51" s="93">
        <v>434367846889.95227</v>
      </c>
      <c r="G51" s="93">
        <v>344201527000</v>
      </c>
      <c r="H51" s="117">
        <v>1.26</v>
      </c>
      <c r="I51" s="117">
        <v>14.98</v>
      </c>
    </row>
    <row r="52" spans="1:9">
      <c r="A52" s="116">
        <v>1333</v>
      </c>
      <c r="B52" s="91">
        <v>-7.0000000000000007E-2</v>
      </c>
      <c r="C52" s="92">
        <v>1</v>
      </c>
      <c r="D52" s="94">
        <v>99999999.999999985</v>
      </c>
      <c r="E52" s="91">
        <f>VLOOKUP(1333,收盤價!A:C,3,0)</f>
        <v>5.23</v>
      </c>
      <c r="F52" s="93">
        <v>522999999.99999994</v>
      </c>
      <c r="G52" s="93">
        <v>955179000</v>
      </c>
      <c r="H52" s="117">
        <v>0.55000000000000004</v>
      </c>
      <c r="I52" s="117">
        <v>0</v>
      </c>
    </row>
    <row r="53" spans="1:9">
      <c r="A53" s="116">
        <v>1336</v>
      </c>
      <c r="B53" s="91">
        <v>-0.96</v>
      </c>
      <c r="C53" s="92">
        <v>0.98936170212765961</v>
      </c>
      <c r="D53" s="94">
        <v>62500000</v>
      </c>
      <c r="E53" s="91">
        <f>VLOOKUP(1336,收盤價!A:C,3,0)</f>
        <v>8.5500000000000007</v>
      </c>
      <c r="F53" s="93">
        <v>534375000.00000006</v>
      </c>
      <c r="G53" s="93">
        <v>1709523000</v>
      </c>
      <c r="H53" s="117">
        <v>0.31</v>
      </c>
      <c r="I53" s="117">
        <v>0</v>
      </c>
    </row>
    <row r="54" spans="1:9">
      <c r="A54" s="116">
        <v>6120</v>
      </c>
      <c r="B54" s="91">
        <v>-0.19</v>
      </c>
      <c r="C54" s="92">
        <v>0</v>
      </c>
      <c r="D54" s="94">
        <v>763157894.73684216</v>
      </c>
      <c r="E54" s="91">
        <f>VLOOKUP(6120,收盤價!A:C,3,0)</f>
        <v>13.5</v>
      </c>
      <c r="F54" s="93">
        <v>10302631578.947369</v>
      </c>
      <c r="G54" s="93">
        <v>42373670000</v>
      </c>
      <c r="H54" s="117">
        <v>0.24</v>
      </c>
      <c r="I54" s="117">
        <v>0</v>
      </c>
    </row>
    <row r="55" spans="1:9">
      <c r="A55" s="116">
        <v>1338</v>
      </c>
      <c r="B55" s="91">
        <v>2.2799999999999998</v>
      </c>
      <c r="C55" s="92">
        <v>0.90348525469168905</v>
      </c>
      <c r="D55" s="94">
        <v>83771929.824561417</v>
      </c>
      <c r="E55" s="91">
        <f>VLOOKUP(1338,收盤價!A:C,3,0)</f>
        <v>114.5</v>
      </c>
      <c r="F55" s="93">
        <v>9591885964.9122829</v>
      </c>
      <c r="G55" s="93">
        <v>8212340000</v>
      </c>
      <c r="H55" s="117">
        <v>1.17</v>
      </c>
      <c r="I55" s="117">
        <v>13.9</v>
      </c>
    </row>
    <row r="56" spans="1:9">
      <c r="A56" s="116">
        <v>1339</v>
      </c>
      <c r="B56" s="91">
        <v>0.68</v>
      </c>
      <c r="C56" s="92">
        <v>1</v>
      </c>
      <c r="D56" s="94">
        <v>73529411.764705881</v>
      </c>
      <c r="E56" s="91">
        <f>VLOOKUP(1339,收盤價!A:C,3,0)</f>
        <v>57.6</v>
      </c>
      <c r="F56" s="93">
        <v>4235294117.647059</v>
      </c>
      <c r="G56" s="93">
        <v>1754977000</v>
      </c>
      <c r="H56" s="117">
        <v>2.41</v>
      </c>
      <c r="I56" s="117">
        <v>21.18</v>
      </c>
    </row>
    <row r="57" spans="1:9">
      <c r="A57" s="116">
        <v>1340</v>
      </c>
      <c r="B57" s="91">
        <v>2.5099999999999998</v>
      </c>
      <c r="C57" s="92">
        <v>0.93600000000000005</v>
      </c>
      <c r="D57" s="94">
        <v>88446215.139442235</v>
      </c>
      <c r="E57" s="91">
        <f>VLOOKUP(1340,收盤價!A:C,3,0)</f>
        <v>76</v>
      </c>
      <c r="F57" s="93">
        <v>6721912350.5976095</v>
      </c>
      <c r="G57" s="93">
        <v>3184758000</v>
      </c>
      <c r="H57" s="117">
        <v>2.11</v>
      </c>
      <c r="I57" s="117">
        <v>8.09</v>
      </c>
    </row>
    <row r="58" spans="1:9">
      <c r="A58" s="116">
        <v>1402</v>
      </c>
      <c r="B58" s="91">
        <v>0.73</v>
      </c>
      <c r="C58" s="92">
        <v>0.1782429432286711</v>
      </c>
      <c r="D58" s="94">
        <v>5028767123.2876711</v>
      </c>
      <c r="E58" s="91">
        <f>VLOOKUP(1402,收盤價!A:C,3,0)</f>
        <v>30.05</v>
      </c>
      <c r="F58" s="93">
        <v>151114452054.79453</v>
      </c>
      <c r="G58" s="93">
        <v>222847592000</v>
      </c>
      <c r="H58" s="117">
        <v>0.68</v>
      </c>
      <c r="I58" s="117">
        <v>57.74</v>
      </c>
    </row>
    <row r="59" spans="1:9">
      <c r="A59" s="116">
        <v>1410</v>
      </c>
      <c r="B59" s="91">
        <v>0.52</v>
      </c>
      <c r="C59" s="92">
        <v>0.94915254237288138</v>
      </c>
      <c r="D59" s="94">
        <v>71153846.153846145</v>
      </c>
      <c r="E59" s="91">
        <f>VLOOKUP(1410,收盤價!A:C,3,0)</f>
        <v>23.9</v>
      </c>
      <c r="F59" s="93">
        <v>1700576923.0769227</v>
      </c>
      <c r="G59" s="93">
        <v>634655000</v>
      </c>
      <c r="H59" s="117">
        <v>2.68</v>
      </c>
      <c r="I59" s="117">
        <v>12.11</v>
      </c>
    </row>
    <row r="60" spans="1:9">
      <c r="A60" s="116">
        <v>1413</v>
      </c>
      <c r="B60" s="91">
        <v>0.4</v>
      </c>
      <c r="C60" s="92">
        <v>0</v>
      </c>
      <c r="D60" s="94">
        <v>102500000</v>
      </c>
      <c r="E60" s="91">
        <f>VLOOKUP(1413,收盤價!A:C,3,0)</f>
        <v>8.99</v>
      </c>
      <c r="F60" s="93">
        <v>921475000</v>
      </c>
      <c r="G60" s="93">
        <v>2741135000</v>
      </c>
      <c r="H60" s="117">
        <v>0.34</v>
      </c>
      <c r="I60" s="117">
        <v>0</v>
      </c>
    </row>
    <row r="61" spans="1:9">
      <c r="A61" s="116">
        <v>2332</v>
      </c>
      <c r="B61" s="91">
        <v>-0.21</v>
      </c>
      <c r="C61" s="92">
        <v>1</v>
      </c>
      <c r="D61" s="94">
        <v>628571428.57142854</v>
      </c>
      <c r="E61" s="91">
        <f>VLOOKUP(2332,收盤價!A:C,3,0)</f>
        <v>10.95</v>
      </c>
      <c r="F61" s="93">
        <v>6882857142.8571424</v>
      </c>
      <c r="G61" s="93">
        <v>28960910000</v>
      </c>
      <c r="H61" s="117">
        <v>0.24</v>
      </c>
      <c r="I61" s="117">
        <v>0</v>
      </c>
    </row>
    <row r="62" spans="1:9">
      <c r="A62" s="116">
        <v>3673</v>
      </c>
      <c r="B62" s="91">
        <v>-1.77</v>
      </c>
      <c r="C62" s="92">
        <v>0.39889705882352944</v>
      </c>
      <c r="D62" s="94">
        <v>349152542.37288135</v>
      </c>
      <c r="E62" s="91">
        <f>VLOOKUP(3673,收盤價!A:C,3,0)</f>
        <v>94.2</v>
      </c>
      <c r="F62" s="93">
        <v>32890169491.525425</v>
      </c>
      <c r="G62" s="93">
        <v>125063945000</v>
      </c>
      <c r="H62" s="117">
        <v>0.26</v>
      </c>
      <c r="I62" s="117">
        <v>0</v>
      </c>
    </row>
    <row r="63" spans="1:9">
      <c r="A63" s="116">
        <v>2027</v>
      </c>
      <c r="B63" s="91">
        <v>-0.03</v>
      </c>
      <c r="C63" s="92">
        <v>1</v>
      </c>
      <c r="D63" s="94">
        <v>800000000</v>
      </c>
      <c r="E63" s="91">
        <f>VLOOKUP(2027,收盤價!A:C,3,0)</f>
        <v>16.149999999999999</v>
      </c>
      <c r="F63" s="93">
        <v>12919999999.999998</v>
      </c>
      <c r="G63" s="93">
        <v>52258001000</v>
      </c>
      <c r="H63" s="117">
        <v>0.25</v>
      </c>
      <c r="I63" s="117">
        <v>0</v>
      </c>
    </row>
    <row r="64" spans="1:9">
      <c r="A64" s="116">
        <v>1418</v>
      </c>
      <c r="B64" s="91">
        <v>-0.21</v>
      </c>
      <c r="C64" s="92">
        <v>1</v>
      </c>
      <c r="D64" s="94">
        <v>123809523.80952382</v>
      </c>
      <c r="E64" s="91">
        <f>VLOOKUP(1418,收盤價!A:C,3,0)</f>
        <v>5.2</v>
      </c>
      <c r="F64" s="93">
        <v>643809523.80952394</v>
      </c>
      <c r="G64" s="93">
        <v>1640795000</v>
      </c>
      <c r="H64" s="117">
        <v>0.39</v>
      </c>
      <c r="I64" s="117">
        <v>0</v>
      </c>
    </row>
    <row r="65" spans="1:9">
      <c r="A65" s="116">
        <v>4906</v>
      </c>
      <c r="B65" s="91">
        <v>0.04</v>
      </c>
      <c r="C65" s="92">
        <v>1</v>
      </c>
      <c r="D65" s="94">
        <v>275000000</v>
      </c>
      <c r="E65" s="91">
        <f>VLOOKUP(4906,收盤價!A:C,3,0)</f>
        <v>16.55</v>
      </c>
      <c r="F65" s="93">
        <v>4551250000</v>
      </c>
      <c r="G65" s="93">
        <v>18809504000</v>
      </c>
      <c r="H65" s="117">
        <v>0.24</v>
      </c>
      <c r="I65" s="117">
        <v>103.44</v>
      </c>
    </row>
    <row r="66" spans="1:9">
      <c r="A66" s="116">
        <v>1423</v>
      </c>
      <c r="B66" s="91">
        <v>0.1</v>
      </c>
      <c r="C66" s="92">
        <v>0</v>
      </c>
      <c r="D66" s="94">
        <v>160000000</v>
      </c>
      <c r="E66" s="91">
        <f>VLOOKUP(1423,收盤價!A:C,3,0)</f>
        <v>7.19</v>
      </c>
      <c r="F66" s="93">
        <v>1150400000</v>
      </c>
      <c r="G66" s="93">
        <v>657874000</v>
      </c>
      <c r="H66" s="117">
        <v>1.75</v>
      </c>
      <c r="I66" s="117">
        <v>0</v>
      </c>
    </row>
    <row r="67" spans="1:9">
      <c r="A67" s="116">
        <v>1432</v>
      </c>
      <c r="B67" s="91">
        <v>0.28000000000000003</v>
      </c>
      <c r="C67" s="92">
        <v>0.87096774193548387</v>
      </c>
      <c r="D67" s="94">
        <v>164285714.28571427</v>
      </c>
      <c r="E67" s="91">
        <f>VLOOKUP(1432,收盤價!A:C,3,0)</f>
        <v>20.75</v>
      </c>
      <c r="F67" s="93">
        <v>3408928571.4285712</v>
      </c>
      <c r="G67" s="93">
        <v>363964000</v>
      </c>
      <c r="H67" s="117">
        <v>9.3699999999999992</v>
      </c>
      <c r="I67" s="117">
        <v>21.27</v>
      </c>
    </row>
    <row r="68" spans="1:9">
      <c r="A68" s="116">
        <v>1434</v>
      </c>
      <c r="B68" s="91">
        <v>0.41</v>
      </c>
      <c r="C68" s="92">
        <v>1</v>
      </c>
      <c r="D68" s="94">
        <v>1675609756.0975611</v>
      </c>
      <c r="E68" s="91">
        <f>VLOOKUP(1434,收盤價!A:C,3,0)</f>
        <v>31.85</v>
      </c>
      <c r="F68" s="93">
        <v>53368170731.707321</v>
      </c>
      <c r="G68" s="93">
        <v>44695844000</v>
      </c>
      <c r="H68" s="117">
        <v>1.19</v>
      </c>
      <c r="I68" s="117">
        <v>19.420000000000002</v>
      </c>
    </row>
    <row r="69" spans="1:9">
      <c r="A69" s="116">
        <v>1436</v>
      </c>
      <c r="B69" s="91">
        <v>-0.37</v>
      </c>
      <c r="C69" s="92">
        <v>0.72413793103448276</v>
      </c>
      <c r="D69" s="94">
        <v>59459459.459459461</v>
      </c>
      <c r="E69" s="91">
        <f>VLOOKUP(1436,收盤價!A:C,3,0)</f>
        <v>39.799999999999997</v>
      </c>
      <c r="F69" s="93">
        <v>2366486486.4864864</v>
      </c>
      <c r="G69" s="93">
        <v>408893000</v>
      </c>
      <c r="H69" s="117">
        <v>5.79</v>
      </c>
      <c r="I69" s="117">
        <v>0</v>
      </c>
    </row>
    <row r="70" spans="1:9">
      <c r="A70" s="116">
        <v>5371</v>
      </c>
      <c r="B70" s="91">
        <v>0.57999999999999996</v>
      </c>
      <c r="C70" s="92">
        <v>0.16611842105263158</v>
      </c>
      <c r="D70" s="94">
        <v>546551724.13793111</v>
      </c>
      <c r="E70" s="91">
        <f>VLOOKUP(5371,收盤價!A:C,3,0)</f>
        <v>31.2</v>
      </c>
      <c r="F70" s="93">
        <v>17052413793.103451</v>
      </c>
      <c r="G70" s="93">
        <v>70865928000</v>
      </c>
      <c r="H70" s="117">
        <v>0.24</v>
      </c>
      <c r="I70" s="117">
        <v>80.959999999999994</v>
      </c>
    </row>
    <row r="71" spans="1:9">
      <c r="A71" s="116">
        <v>1438</v>
      </c>
      <c r="B71" s="91">
        <v>-0.02</v>
      </c>
      <c r="C71" s="92">
        <v>1</v>
      </c>
      <c r="D71" s="94">
        <v>100000000</v>
      </c>
      <c r="E71" s="91">
        <f>VLOOKUP(1438,收盤價!A:C,3,0)</f>
        <v>4.97</v>
      </c>
      <c r="F71" s="93">
        <v>497000000</v>
      </c>
      <c r="G71" s="93">
        <v>35340000</v>
      </c>
      <c r="H71" s="117">
        <v>14.06</v>
      </c>
      <c r="I71" s="117">
        <v>0</v>
      </c>
    </row>
    <row r="72" spans="1:9">
      <c r="A72" s="116">
        <v>1439</v>
      </c>
      <c r="B72" s="91">
        <v>0</v>
      </c>
      <c r="C72" s="92">
        <v>0</v>
      </c>
      <c r="D72" s="94">
        <v>0</v>
      </c>
      <c r="E72" s="91">
        <f>VLOOKUP(1439,收盤價!A:C,3,0)</f>
        <v>13.15</v>
      </c>
      <c r="F72" s="93">
        <v>0</v>
      </c>
      <c r="G72" s="93">
        <v>412821000</v>
      </c>
      <c r="H72" s="117">
        <v>0</v>
      </c>
      <c r="I72" s="117">
        <v>0</v>
      </c>
    </row>
    <row r="73" spans="1:9">
      <c r="A73" s="116">
        <v>1440</v>
      </c>
      <c r="B73" s="91">
        <v>0.26</v>
      </c>
      <c r="C73" s="92">
        <v>0.45238095238095238</v>
      </c>
      <c r="D73" s="94">
        <v>1638461538.4615383</v>
      </c>
      <c r="E73" s="91">
        <f>VLOOKUP(1440,收盤價!A:C,3,0)</f>
        <v>15.9</v>
      </c>
      <c r="F73" s="93">
        <v>26051538461.53846</v>
      </c>
      <c r="G73" s="93">
        <v>22096263000</v>
      </c>
      <c r="H73" s="117">
        <v>1.18</v>
      </c>
      <c r="I73" s="117">
        <v>33.799999999999997</v>
      </c>
    </row>
    <row r="74" spans="1:9">
      <c r="A74" s="116">
        <v>1441</v>
      </c>
      <c r="B74" s="91">
        <v>-0.09</v>
      </c>
      <c r="C74" s="92">
        <v>0.46341463414634149</v>
      </c>
      <c r="D74" s="94">
        <v>88888888.888888896</v>
      </c>
      <c r="E74" s="91">
        <f>VLOOKUP(1441,收盤價!A:C,3,0)</f>
        <v>7.7</v>
      </c>
      <c r="F74" s="93">
        <v>684444444.44444454</v>
      </c>
      <c r="G74" s="93">
        <v>1950406000</v>
      </c>
      <c r="H74" s="117">
        <v>0.35</v>
      </c>
      <c r="I74" s="117">
        <v>0</v>
      </c>
    </row>
    <row r="75" spans="1:9">
      <c r="A75" s="116">
        <v>5491</v>
      </c>
      <c r="B75" s="91">
        <v>-0.63</v>
      </c>
      <c r="C75" s="92">
        <v>0.68794326241134751</v>
      </c>
      <c r="D75" s="94">
        <v>217460317.46031746</v>
      </c>
      <c r="E75" s="91">
        <f>VLOOKUP(5491,收盤價!A:C,3,0)</f>
        <v>8.36</v>
      </c>
      <c r="F75" s="93">
        <v>1817968253.9682539</v>
      </c>
      <c r="G75" s="93">
        <v>8480210000</v>
      </c>
      <c r="H75" s="117">
        <v>0.21</v>
      </c>
      <c r="I75" s="117">
        <v>0</v>
      </c>
    </row>
    <row r="76" spans="1:9">
      <c r="A76" s="116">
        <v>1443</v>
      </c>
      <c r="B76" s="91">
        <v>-0.2</v>
      </c>
      <c r="C76" s="92">
        <v>0.23076923076923078</v>
      </c>
      <c r="D76" s="94">
        <v>130000000</v>
      </c>
      <c r="E76" s="91">
        <f>VLOOKUP(1443,收盤價!A:C,3,0)</f>
        <v>5.09</v>
      </c>
      <c r="F76" s="93">
        <v>661700000</v>
      </c>
      <c r="G76" s="93">
        <v>1372351000</v>
      </c>
      <c r="H76" s="117">
        <v>0.48</v>
      </c>
      <c r="I76" s="117">
        <v>0</v>
      </c>
    </row>
    <row r="77" spans="1:9">
      <c r="A77" s="116">
        <v>1444</v>
      </c>
      <c r="B77" s="91">
        <v>0.12</v>
      </c>
      <c r="C77" s="92">
        <v>1</v>
      </c>
      <c r="D77" s="94">
        <v>925000000</v>
      </c>
      <c r="E77" s="91">
        <f>VLOOKUP(1444,收盤價!A:C,3,0)</f>
        <v>9.92</v>
      </c>
      <c r="F77" s="93">
        <v>9176000000</v>
      </c>
      <c r="G77" s="93">
        <v>10884533000</v>
      </c>
      <c r="H77" s="117">
        <v>0.84</v>
      </c>
      <c r="I77" s="117">
        <v>20.67</v>
      </c>
    </row>
    <row r="78" spans="1:9">
      <c r="A78" s="116">
        <v>1445</v>
      </c>
      <c r="B78" s="91">
        <v>0.17</v>
      </c>
      <c r="C78" s="92">
        <v>1</v>
      </c>
      <c r="D78" s="94">
        <v>141176470.58823529</v>
      </c>
      <c r="E78" s="91">
        <f>VLOOKUP(1445,收盤價!A:C,3,0)</f>
        <v>9.76</v>
      </c>
      <c r="F78" s="93">
        <v>1377882352.9411764</v>
      </c>
      <c r="G78" s="93">
        <v>1909943000</v>
      </c>
      <c r="H78" s="117">
        <v>0.72</v>
      </c>
      <c r="I78" s="117">
        <v>14.35</v>
      </c>
    </row>
    <row r="79" spans="1:9">
      <c r="A79" s="116">
        <v>1446</v>
      </c>
      <c r="B79" s="91">
        <v>-0.03</v>
      </c>
      <c r="C79" s="92">
        <v>0</v>
      </c>
      <c r="D79" s="94">
        <v>133333333.33333334</v>
      </c>
      <c r="E79" s="91">
        <f>VLOOKUP(1446,收盤價!A:C,3,0)</f>
        <v>20.55</v>
      </c>
      <c r="F79" s="93">
        <v>2740000000.0000005</v>
      </c>
      <c r="G79" s="93">
        <v>861758000</v>
      </c>
      <c r="H79" s="117">
        <v>3.18</v>
      </c>
      <c r="I79" s="117">
        <v>0</v>
      </c>
    </row>
    <row r="80" spans="1:9">
      <c r="A80" s="116">
        <v>1447</v>
      </c>
      <c r="B80" s="91">
        <v>0.17</v>
      </c>
      <c r="C80" s="92">
        <v>1</v>
      </c>
      <c r="D80" s="94">
        <v>823529411.76470578</v>
      </c>
      <c r="E80" s="91">
        <f>VLOOKUP(1447,收盤價!A:C,3,0)</f>
        <v>9.5399999999999991</v>
      </c>
      <c r="F80" s="93">
        <v>7856470588.2352924</v>
      </c>
      <c r="G80" s="93">
        <v>18565428000</v>
      </c>
      <c r="H80" s="117">
        <v>0.42</v>
      </c>
      <c r="I80" s="117">
        <v>14.03</v>
      </c>
    </row>
    <row r="81" spans="1:9">
      <c r="A81" s="116">
        <v>1449</v>
      </c>
      <c r="B81" s="91">
        <v>-1.07</v>
      </c>
      <c r="C81" s="92">
        <v>1</v>
      </c>
      <c r="D81" s="94">
        <v>118691588.78504673</v>
      </c>
      <c r="E81" s="91">
        <f>VLOOKUP(1449,收盤價!A:C,3,0)</f>
        <v>7.79</v>
      </c>
      <c r="F81" s="93">
        <v>924607476.63551402</v>
      </c>
      <c r="G81" s="93">
        <v>3069853000</v>
      </c>
      <c r="H81" s="117">
        <v>0.3</v>
      </c>
      <c r="I81" s="117">
        <v>0</v>
      </c>
    </row>
    <row r="82" spans="1:9">
      <c r="A82" s="116">
        <v>2331</v>
      </c>
      <c r="B82" s="91">
        <v>0.56000000000000005</v>
      </c>
      <c r="C82" s="92">
        <v>0.93768115942028984</v>
      </c>
      <c r="D82" s="94">
        <v>558928571.42857134</v>
      </c>
      <c r="E82" s="91">
        <f>VLOOKUP(2331,收盤價!A:C,3,0)</f>
        <v>22.55</v>
      </c>
      <c r="F82" s="93">
        <v>12603839285.714285</v>
      </c>
      <c r="G82" s="93">
        <v>50702843000</v>
      </c>
      <c r="H82" s="117">
        <v>0.25</v>
      </c>
      <c r="I82" s="117">
        <v>10.74</v>
      </c>
    </row>
    <row r="83" spans="1:9">
      <c r="A83" s="116">
        <v>1452</v>
      </c>
      <c r="B83" s="91">
        <v>1.18</v>
      </c>
      <c r="C83" s="92">
        <v>0.48360655737704916</v>
      </c>
      <c r="D83" s="94">
        <v>132203389.83050849</v>
      </c>
      <c r="E83" s="91">
        <f>VLOOKUP(1452,收盤價!A:C,3,0)</f>
        <v>27.05</v>
      </c>
      <c r="F83" s="93">
        <v>3576101694.9152546</v>
      </c>
      <c r="G83" s="93">
        <v>2128169000</v>
      </c>
      <c r="H83" s="117">
        <v>1.68</v>
      </c>
      <c r="I83" s="117">
        <v>11.85</v>
      </c>
    </row>
    <row r="84" spans="1:9">
      <c r="A84" s="116">
        <v>1453</v>
      </c>
      <c r="B84" s="91">
        <v>1.01</v>
      </c>
      <c r="C84" s="92">
        <v>0.97222222222222221</v>
      </c>
      <c r="D84" s="94">
        <v>88118811.881188124</v>
      </c>
      <c r="E84" s="91">
        <f>VLOOKUP(1453,收盤價!A:C,3,0)</f>
        <v>8.6300000000000008</v>
      </c>
      <c r="F84" s="93">
        <v>760465346.53465354</v>
      </c>
      <c r="G84" s="93">
        <v>383099000</v>
      </c>
      <c r="H84" s="117">
        <v>1.99</v>
      </c>
      <c r="I84" s="117">
        <v>2.2000000000000002</v>
      </c>
    </row>
    <row r="85" spans="1:9">
      <c r="A85" s="116">
        <v>1454</v>
      </c>
      <c r="B85" s="91">
        <v>0.28999999999999998</v>
      </c>
      <c r="C85" s="92">
        <v>0.96875</v>
      </c>
      <c r="D85" s="94">
        <v>131034482.75862069</v>
      </c>
      <c r="E85" s="91">
        <f>VLOOKUP(1454,收盤價!A:C,3,0)</f>
        <v>10.45</v>
      </c>
      <c r="F85" s="93">
        <v>1369310344.8275862</v>
      </c>
      <c r="G85" s="93">
        <v>2142521000</v>
      </c>
      <c r="H85" s="117">
        <v>0.64</v>
      </c>
      <c r="I85" s="117">
        <v>9.3000000000000007</v>
      </c>
    </row>
    <row r="86" spans="1:9">
      <c r="A86" s="116">
        <v>2392</v>
      </c>
      <c r="B86" s="91">
        <v>0.28000000000000003</v>
      </c>
      <c r="C86" s="92">
        <v>0</v>
      </c>
      <c r="D86" s="94">
        <v>514285714.28571421</v>
      </c>
      <c r="E86" s="91">
        <f>VLOOKUP(2392,收盤價!A:C,3,0)</f>
        <v>47.5</v>
      </c>
      <c r="F86" s="93">
        <v>24428571428.571426</v>
      </c>
      <c r="G86" s="93">
        <v>99718457000</v>
      </c>
      <c r="H86" s="117">
        <v>0.24</v>
      </c>
      <c r="I86" s="117">
        <v>0</v>
      </c>
    </row>
    <row r="87" spans="1:9">
      <c r="A87" s="116">
        <v>4725</v>
      </c>
      <c r="B87" s="91">
        <v>-1.1200000000000001</v>
      </c>
      <c r="C87" s="92">
        <v>0.87562688064192573</v>
      </c>
      <c r="D87" s="94">
        <v>291071428.57142854</v>
      </c>
      <c r="E87" s="91">
        <f>VLOOKUP(4725,收盤價!A:C,3,0)</f>
        <v>18.350000000000001</v>
      </c>
      <c r="F87" s="93">
        <v>5341160714.2857141</v>
      </c>
      <c r="G87" s="93">
        <v>15257390000</v>
      </c>
      <c r="H87" s="117">
        <v>0.35</v>
      </c>
      <c r="I87" s="117">
        <v>0</v>
      </c>
    </row>
    <row r="88" spans="1:9">
      <c r="A88" s="116">
        <v>2368</v>
      </c>
      <c r="B88" s="91">
        <v>-0.16</v>
      </c>
      <c r="C88" s="92">
        <v>1</v>
      </c>
      <c r="D88" s="94">
        <v>550000000</v>
      </c>
      <c r="E88" s="91">
        <f>VLOOKUP(2368,收盤價!A:C,3,0)</f>
        <v>12</v>
      </c>
      <c r="F88" s="93">
        <v>6600000000</v>
      </c>
      <c r="G88" s="93">
        <v>20872988000</v>
      </c>
      <c r="H88" s="117">
        <v>0.32</v>
      </c>
      <c r="I88" s="117">
        <v>0</v>
      </c>
    </row>
    <row r="89" spans="1:9">
      <c r="A89" s="116">
        <v>3010</v>
      </c>
      <c r="B89" s="91">
        <v>1.1100000000000001</v>
      </c>
      <c r="C89" s="92">
        <v>0.64258555133079853</v>
      </c>
      <c r="D89" s="94">
        <v>232432432.43243241</v>
      </c>
      <c r="E89" s="91">
        <f>VLOOKUP(3010,收盤價!A:C,3,0)</f>
        <v>46.75</v>
      </c>
      <c r="F89" s="93">
        <v>10866216216.216215</v>
      </c>
      <c r="G89" s="93">
        <v>39422572000</v>
      </c>
      <c r="H89" s="117">
        <v>0.28000000000000003</v>
      </c>
      <c r="I89" s="117">
        <v>16.39</v>
      </c>
    </row>
    <row r="90" spans="1:9">
      <c r="A90" s="116">
        <v>6251</v>
      </c>
      <c r="B90" s="91">
        <v>-0.3</v>
      </c>
      <c r="C90" s="92">
        <v>0.93793103448275861</v>
      </c>
      <c r="D90" s="94">
        <v>286666666.66666669</v>
      </c>
      <c r="E90" s="91">
        <f>VLOOKUP(6251,收盤價!A:C,3,0)</f>
        <v>9.74</v>
      </c>
      <c r="F90" s="93">
        <v>2792133333.3333335</v>
      </c>
      <c r="G90" s="93">
        <v>10808390000</v>
      </c>
      <c r="H90" s="117">
        <v>0.26</v>
      </c>
      <c r="I90" s="117">
        <v>0</v>
      </c>
    </row>
    <row r="91" spans="1:9">
      <c r="A91" s="116">
        <v>8163</v>
      </c>
      <c r="B91" s="91">
        <v>7.0000000000000007E-2</v>
      </c>
      <c r="C91" s="92">
        <v>0.94736842105263153</v>
      </c>
      <c r="D91" s="94">
        <v>314285714.28571427</v>
      </c>
      <c r="E91" s="91">
        <f>VLOOKUP(8163,收盤價!A:C,3,0)</f>
        <v>17.55</v>
      </c>
      <c r="F91" s="93">
        <v>5515714285.7142859</v>
      </c>
      <c r="G91" s="93">
        <v>21000297000</v>
      </c>
      <c r="H91" s="117">
        <v>0.26</v>
      </c>
      <c r="I91" s="117">
        <v>66.16</v>
      </c>
    </row>
    <row r="92" spans="1:9">
      <c r="A92" s="116">
        <v>2022</v>
      </c>
      <c r="B92" s="91">
        <v>-0.18</v>
      </c>
      <c r="C92" s="92">
        <v>0.39560439560439559</v>
      </c>
      <c r="D92" s="94">
        <v>544444444.44444442</v>
      </c>
      <c r="E92" s="91">
        <f>VLOOKUP(2022,收盤價!A:C,3,0)</f>
        <v>4.1900000000000004</v>
      </c>
      <c r="F92" s="93">
        <v>2281222222.2222223</v>
      </c>
      <c r="G92" s="93">
        <v>8148432000</v>
      </c>
      <c r="H92" s="117">
        <v>0.28000000000000003</v>
      </c>
      <c r="I92" s="117">
        <v>0</v>
      </c>
    </row>
    <row r="93" spans="1:9">
      <c r="A93" s="116">
        <v>1465</v>
      </c>
      <c r="B93" s="91">
        <v>0.12</v>
      </c>
      <c r="C93" s="92">
        <v>0.6470588235294118</v>
      </c>
      <c r="D93" s="94">
        <v>108333333.33333334</v>
      </c>
      <c r="E93" s="91">
        <f>VLOOKUP(1465,收盤價!A:C,3,0)</f>
        <v>13.5</v>
      </c>
      <c r="F93" s="93">
        <v>1462500000.0000002</v>
      </c>
      <c r="G93" s="93">
        <v>2565258000</v>
      </c>
      <c r="H93" s="117">
        <v>0.56999999999999995</v>
      </c>
      <c r="I93" s="117">
        <v>43.47</v>
      </c>
    </row>
    <row r="94" spans="1:9">
      <c r="A94" s="116">
        <v>1466</v>
      </c>
      <c r="B94" s="91">
        <v>-0.09</v>
      </c>
      <c r="C94" s="92">
        <v>0</v>
      </c>
      <c r="D94" s="94">
        <v>111111111.11111112</v>
      </c>
      <c r="E94" s="91">
        <f>VLOOKUP(1466,收盤價!A:C,3,0)</f>
        <v>17</v>
      </c>
      <c r="F94" s="93">
        <v>1888888888.8888891</v>
      </c>
      <c r="G94" s="93">
        <v>4566500000</v>
      </c>
      <c r="H94" s="117">
        <v>0.41</v>
      </c>
      <c r="I94" s="117">
        <v>0</v>
      </c>
    </row>
    <row r="95" spans="1:9">
      <c r="A95" s="116">
        <v>1467</v>
      </c>
      <c r="B95" s="91">
        <v>0.02</v>
      </c>
      <c r="C95" s="92">
        <v>1</v>
      </c>
      <c r="D95" s="94">
        <v>150000000</v>
      </c>
      <c r="E95" s="91">
        <f>VLOOKUP(1467,收盤價!A:C,3,0)</f>
        <v>13.7</v>
      </c>
      <c r="F95" s="93">
        <v>2055000000</v>
      </c>
      <c r="G95" s="93">
        <v>7392206000</v>
      </c>
      <c r="H95" s="117">
        <v>0.28000000000000003</v>
      </c>
      <c r="I95" s="117">
        <v>171.25</v>
      </c>
    </row>
    <row r="96" spans="1:9">
      <c r="A96" s="116">
        <v>1468</v>
      </c>
      <c r="B96" s="91">
        <v>-0.09</v>
      </c>
      <c r="C96" s="92">
        <v>0.13043478260869565</v>
      </c>
      <c r="D96" s="94">
        <v>166666666.66666669</v>
      </c>
      <c r="E96" s="91">
        <f>VLOOKUP(1468,收盤價!A:C,3,0)</f>
        <v>9.35</v>
      </c>
      <c r="F96" s="93">
        <v>1558333333.3333335</v>
      </c>
      <c r="G96" s="93">
        <v>548447000</v>
      </c>
      <c r="H96" s="117">
        <v>2.84</v>
      </c>
      <c r="I96" s="117">
        <v>0</v>
      </c>
    </row>
    <row r="97" spans="1:9">
      <c r="A97" s="116">
        <v>1469</v>
      </c>
      <c r="B97" s="91">
        <v>0.15</v>
      </c>
      <c r="C97" s="92">
        <v>1</v>
      </c>
      <c r="D97" s="94">
        <v>120000000</v>
      </c>
      <c r="E97" s="91">
        <f>VLOOKUP(1469,收盤價!A:C,3,0)</f>
        <v>12.45</v>
      </c>
      <c r="F97" s="93">
        <v>1494000000</v>
      </c>
      <c r="G97" s="93">
        <v>434176000</v>
      </c>
      <c r="H97" s="117">
        <v>3.44</v>
      </c>
      <c r="I97" s="117">
        <v>20.75</v>
      </c>
    </row>
    <row r="98" spans="1:9">
      <c r="A98" s="116">
        <v>1470</v>
      </c>
      <c r="B98" s="91">
        <v>0.12</v>
      </c>
      <c r="C98" s="92">
        <v>1</v>
      </c>
      <c r="D98" s="94">
        <v>91666666.666666672</v>
      </c>
      <c r="E98" s="91">
        <f>VLOOKUP(1470,收盤價!A:C,3,0)</f>
        <v>0</v>
      </c>
      <c r="F98" s="93">
        <v>0</v>
      </c>
      <c r="G98" s="93">
        <v>762696000</v>
      </c>
      <c r="H98" s="117">
        <v>0</v>
      </c>
      <c r="I98" s="117">
        <v>0</v>
      </c>
    </row>
    <row r="99" spans="1:9">
      <c r="A99" s="116">
        <v>2535</v>
      </c>
      <c r="B99" s="91">
        <v>0.18</v>
      </c>
      <c r="C99" s="92">
        <v>1</v>
      </c>
      <c r="D99" s="94">
        <v>205555555.55555555</v>
      </c>
      <c r="E99" s="91">
        <f>VLOOKUP(2535,收盤價!A:C,3,0)</f>
        <v>14.95</v>
      </c>
      <c r="F99" s="93">
        <v>3073055555.5555553</v>
      </c>
      <c r="G99" s="93">
        <v>10750671000</v>
      </c>
      <c r="H99" s="117">
        <v>0.28999999999999998</v>
      </c>
      <c r="I99" s="117">
        <v>20.76</v>
      </c>
    </row>
    <row r="100" spans="1:9">
      <c r="A100" s="116">
        <v>1472</v>
      </c>
      <c r="B100" s="91">
        <v>0.33</v>
      </c>
      <c r="C100" s="92">
        <v>0</v>
      </c>
      <c r="D100" s="94">
        <v>72727272.727272719</v>
      </c>
      <c r="E100" s="91">
        <f>VLOOKUP(1472,收盤價!A:C,3,0)</f>
        <v>14.25</v>
      </c>
      <c r="F100" s="93">
        <v>1036363636.3636363</v>
      </c>
      <c r="G100" s="93">
        <v>839597000</v>
      </c>
      <c r="H100" s="117">
        <v>1.23</v>
      </c>
      <c r="I100" s="117">
        <v>0</v>
      </c>
    </row>
    <row r="101" spans="1:9">
      <c r="A101" s="116">
        <v>1473</v>
      </c>
      <c r="B101" s="91">
        <v>-0.23</v>
      </c>
      <c r="C101" s="92">
        <v>0</v>
      </c>
      <c r="D101" s="94">
        <v>143478260.86956522</v>
      </c>
      <c r="E101" s="91">
        <f>VLOOKUP(1473,收盤價!A:C,3,0)</f>
        <v>25.9</v>
      </c>
      <c r="F101" s="93">
        <v>3716086956.521739</v>
      </c>
      <c r="G101" s="93">
        <v>9228237000</v>
      </c>
      <c r="H101" s="117">
        <v>0.4</v>
      </c>
      <c r="I101" s="117">
        <v>0</v>
      </c>
    </row>
    <row r="102" spans="1:9">
      <c r="A102" s="116">
        <v>1474</v>
      </c>
      <c r="B102" s="91">
        <v>0.2</v>
      </c>
      <c r="C102" s="92">
        <v>1</v>
      </c>
      <c r="D102" s="94">
        <v>130000000</v>
      </c>
      <c r="E102" s="91">
        <f>VLOOKUP(1474,收盤價!A:C,3,0)</f>
        <v>10</v>
      </c>
      <c r="F102" s="93">
        <v>1300000000</v>
      </c>
      <c r="G102" s="93">
        <v>3609151000</v>
      </c>
      <c r="H102" s="117">
        <v>0.36</v>
      </c>
      <c r="I102" s="117">
        <v>12.5</v>
      </c>
    </row>
    <row r="103" spans="1:9">
      <c r="A103" s="116">
        <v>1475</v>
      </c>
      <c r="B103" s="91">
        <v>-0.28999999999999998</v>
      </c>
      <c r="C103" s="92">
        <v>0.41379310344827586</v>
      </c>
      <c r="D103" s="94">
        <v>51724137.931034483</v>
      </c>
      <c r="E103" s="91">
        <f>VLOOKUP(1475,收盤價!A:C,3,0)</f>
        <v>8.16</v>
      </c>
      <c r="F103" s="93">
        <v>422068965.51724142</v>
      </c>
      <c r="G103" s="93">
        <v>238217000</v>
      </c>
      <c r="H103" s="117">
        <v>1.77</v>
      </c>
      <c r="I103" s="117">
        <v>0</v>
      </c>
    </row>
    <row r="104" spans="1:9">
      <c r="A104" s="116">
        <v>6142</v>
      </c>
      <c r="B104" s="91">
        <v>-0.11</v>
      </c>
      <c r="C104" s="92">
        <v>1</v>
      </c>
      <c r="D104" s="94">
        <v>272727272.72727275</v>
      </c>
      <c r="E104" s="91">
        <f>VLOOKUP(6142,收盤價!A:C,3,0)</f>
        <v>4.51</v>
      </c>
      <c r="F104" s="93">
        <v>1230000000</v>
      </c>
      <c r="G104" s="93">
        <v>4434655000</v>
      </c>
      <c r="H104" s="117">
        <v>0.28000000000000003</v>
      </c>
      <c r="I104" s="117">
        <v>0</v>
      </c>
    </row>
    <row r="105" spans="1:9">
      <c r="A105" s="116">
        <v>1477</v>
      </c>
      <c r="B105" s="91">
        <v>2.1800000000000002</v>
      </c>
      <c r="C105" s="92">
        <v>1</v>
      </c>
      <c r="D105" s="94">
        <v>198623853.21100917</v>
      </c>
      <c r="E105" s="91">
        <f>VLOOKUP(1477,收盤價!A:C,3,0)</f>
        <v>246</v>
      </c>
      <c r="F105" s="93">
        <v>48861467889.908257</v>
      </c>
      <c r="G105" s="93">
        <v>22747660000</v>
      </c>
      <c r="H105" s="117">
        <v>2.15</v>
      </c>
      <c r="I105" s="117">
        <v>28.21</v>
      </c>
    </row>
    <row r="106" spans="1:9">
      <c r="A106" s="116">
        <v>1712</v>
      </c>
      <c r="B106" s="91">
        <v>0.35</v>
      </c>
      <c r="C106" s="92">
        <v>1</v>
      </c>
      <c r="D106" s="94">
        <v>348571428.5714286</v>
      </c>
      <c r="E106" s="91">
        <f>VLOOKUP(1712,收盤價!A:C,3,0)</f>
        <v>14.1</v>
      </c>
      <c r="F106" s="93">
        <v>4914857142.8571434</v>
      </c>
      <c r="G106" s="93">
        <v>17734131000</v>
      </c>
      <c r="H106" s="117">
        <v>0.28000000000000003</v>
      </c>
      <c r="I106" s="117">
        <v>10.07</v>
      </c>
    </row>
    <row r="107" spans="1:9">
      <c r="A107" s="116">
        <v>1504</v>
      </c>
      <c r="B107" s="91">
        <v>0.46</v>
      </c>
      <c r="C107" s="92">
        <v>0.69636363636363641</v>
      </c>
      <c r="D107" s="94">
        <v>1984782608.695652</v>
      </c>
      <c r="E107" s="91">
        <f>VLOOKUP(1504,收盤價!A:C,3,0)</f>
        <v>27.55</v>
      </c>
      <c r="F107" s="93">
        <v>54680760869.565216</v>
      </c>
      <c r="G107" s="93">
        <v>49419520000</v>
      </c>
      <c r="H107" s="117">
        <v>1.1100000000000001</v>
      </c>
      <c r="I107" s="117">
        <v>21.5</v>
      </c>
    </row>
    <row r="108" spans="1:9">
      <c r="A108" s="116">
        <v>1506</v>
      </c>
      <c r="B108" s="91">
        <v>0.04</v>
      </c>
      <c r="C108" s="92">
        <v>1</v>
      </c>
      <c r="D108" s="94">
        <v>100000000</v>
      </c>
      <c r="E108" s="91">
        <f>VLOOKUP(1506,收盤價!A:C,3,0)</f>
        <v>15.85</v>
      </c>
      <c r="F108" s="93">
        <v>1585000000</v>
      </c>
      <c r="G108" s="93">
        <v>1588638000</v>
      </c>
      <c r="H108" s="117">
        <v>1</v>
      </c>
      <c r="I108" s="117">
        <v>99.06</v>
      </c>
    </row>
    <row r="109" spans="1:9">
      <c r="A109" s="116">
        <v>2908</v>
      </c>
      <c r="B109" s="91">
        <v>0.22</v>
      </c>
      <c r="C109" s="92">
        <v>0.96190476190476193</v>
      </c>
      <c r="D109" s="94">
        <v>500000000</v>
      </c>
      <c r="E109" s="91">
        <f>VLOOKUP(2908,收盤價!A:C,3,0)</f>
        <v>20.2</v>
      </c>
      <c r="F109" s="93">
        <v>10100000000</v>
      </c>
      <c r="G109" s="93">
        <v>36744795000</v>
      </c>
      <c r="H109" s="117">
        <v>0.27</v>
      </c>
      <c r="I109" s="117">
        <v>23.86</v>
      </c>
    </row>
    <row r="110" spans="1:9">
      <c r="A110" s="116">
        <v>1512</v>
      </c>
      <c r="B110" s="91">
        <v>-0.56000000000000005</v>
      </c>
      <c r="C110" s="92">
        <v>0.60248447204968947</v>
      </c>
      <c r="D110" s="94">
        <v>178571428.57142857</v>
      </c>
      <c r="E110" s="91">
        <f>VLOOKUP(1512,收盤價!A:C,3,0)</f>
        <v>4.29</v>
      </c>
      <c r="F110" s="93">
        <v>766071428.57142854</v>
      </c>
      <c r="G110" s="93">
        <v>3718941000</v>
      </c>
      <c r="H110" s="117">
        <v>0.21</v>
      </c>
      <c r="I110" s="117">
        <v>0</v>
      </c>
    </row>
    <row r="111" spans="1:9">
      <c r="A111" s="116">
        <v>2911</v>
      </c>
      <c r="B111" s="91">
        <v>-0.51</v>
      </c>
      <c r="C111" s="92">
        <v>0.83116883116883122</v>
      </c>
      <c r="D111" s="94">
        <v>213725490.19607842</v>
      </c>
      <c r="E111" s="91">
        <f>VLOOKUP(2911,收盤價!A:C,3,0)</f>
        <v>17.8</v>
      </c>
      <c r="F111" s="93">
        <v>3804313725.4901962</v>
      </c>
      <c r="G111" s="93">
        <v>9487879000</v>
      </c>
      <c r="H111" s="117">
        <v>0.4</v>
      </c>
      <c r="I111" s="117">
        <v>0</v>
      </c>
    </row>
    <row r="112" spans="1:9">
      <c r="A112" s="116">
        <v>3704</v>
      </c>
      <c r="B112" s="91">
        <v>-0.41</v>
      </c>
      <c r="C112" s="92">
        <v>0.44583987441130296</v>
      </c>
      <c r="D112" s="94">
        <v>475609756.097561</v>
      </c>
      <c r="E112" s="91">
        <f>VLOOKUP(3704,收盤價!A:C,3,0)</f>
        <v>13.1</v>
      </c>
      <c r="F112" s="93">
        <v>6230487804.8780489</v>
      </c>
      <c r="G112" s="93">
        <v>21327094000</v>
      </c>
      <c r="H112" s="117">
        <v>0.28999999999999998</v>
      </c>
      <c r="I112" s="117">
        <v>0</v>
      </c>
    </row>
    <row r="113" spans="1:9">
      <c r="A113" s="116">
        <v>1515</v>
      </c>
      <c r="B113" s="91">
        <v>-0.06</v>
      </c>
      <c r="C113" s="92">
        <v>0.5</v>
      </c>
      <c r="D113" s="94">
        <v>183333333.33333334</v>
      </c>
      <c r="E113" s="91">
        <f>VLOOKUP(1515,收盤價!A:C,3,0)</f>
        <v>12.7</v>
      </c>
      <c r="F113" s="93">
        <v>2328333333.3333335</v>
      </c>
      <c r="G113" s="93">
        <v>3627622000</v>
      </c>
      <c r="H113" s="117">
        <v>0.64</v>
      </c>
      <c r="I113" s="117">
        <v>0</v>
      </c>
    </row>
    <row r="114" spans="1:9">
      <c r="A114" s="116">
        <v>1516</v>
      </c>
      <c r="B114" s="91">
        <v>-0.13</v>
      </c>
      <c r="C114" s="92">
        <v>5.0632911392405063E-2</v>
      </c>
      <c r="D114" s="94">
        <v>23076923.076923076</v>
      </c>
      <c r="E114" s="91">
        <f>VLOOKUP(1516,收盤價!A:C,3,0)</f>
        <v>24.1</v>
      </c>
      <c r="F114" s="93">
        <v>556153846.15384614</v>
      </c>
      <c r="G114" s="93">
        <v>200721000</v>
      </c>
      <c r="H114" s="117">
        <v>2.77</v>
      </c>
      <c r="I114" s="117">
        <v>0</v>
      </c>
    </row>
    <row r="115" spans="1:9">
      <c r="A115" s="116">
        <v>9934</v>
      </c>
      <c r="B115" s="91">
        <v>0.56999999999999995</v>
      </c>
      <c r="C115" s="92">
        <v>0.40625</v>
      </c>
      <c r="D115" s="94">
        <v>354385964.91228074</v>
      </c>
      <c r="E115" s="91">
        <f>VLOOKUP(9934,收盤價!A:C,3,0)</f>
        <v>16.149999999999999</v>
      </c>
      <c r="F115" s="93">
        <v>5723333333.333333</v>
      </c>
      <c r="G115" s="93">
        <v>19417913000</v>
      </c>
      <c r="H115" s="117">
        <v>0.28999999999999998</v>
      </c>
      <c r="I115" s="117">
        <v>17.440000000000001</v>
      </c>
    </row>
    <row r="116" spans="1:9">
      <c r="A116" s="116">
        <v>2387</v>
      </c>
      <c r="B116" s="91">
        <v>0.1</v>
      </c>
      <c r="C116" s="92">
        <v>0.55333333333333334</v>
      </c>
      <c r="D116" s="94">
        <v>340000000</v>
      </c>
      <c r="E116" s="91">
        <f>VLOOKUP(2387,收盤價!A:C,3,0)</f>
        <v>14.9</v>
      </c>
      <c r="F116" s="93">
        <v>5066000000</v>
      </c>
      <c r="G116" s="93">
        <v>16457924000</v>
      </c>
      <c r="H116" s="117">
        <v>0.31</v>
      </c>
      <c r="I116" s="117">
        <v>67.319999999999993</v>
      </c>
    </row>
    <row r="117" spans="1:9">
      <c r="A117" s="116">
        <v>1521</v>
      </c>
      <c r="B117" s="91">
        <v>1.22</v>
      </c>
      <c r="C117" s="92">
        <v>0.87072243346007605</v>
      </c>
      <c r="D117" s="94">
        <v>76229508.196721315</v>
      </c>
      <c r="E117" s="91">
        <f>VLOOKUP(1521,收盤價!A:C,3,0)</f>
        <v>84.3</v>
      </c>
      <c r="F117" s="93">
        <v>6426147540.9836063</v>
      </c>
      <c r="G117" s="93">
        <v>5610561000</v>
      </c>
      <c r="H117" s="117">
        <v>1.1499999999999999</v>
      </c>
      <c r="I117" s="117">
        <v>19.84</v>
      </c>
    </row>
    <row r="118" spans="1:9">
      <c r="A118" s="116">
        <v>2481</v>
      </c>
      <c r="B118" s="91">
        <v>0.2</v>
      </c>
      <c r="C118" s="92">
        <v>1</v>
      </c>
      <c r="D118" s="94">
        <v>385000000</v>
      </c>
      <c r="E118" s="91">
        <f>VLOOKUP(2481,收盤價!A:C,3,0)</f>
        <v>13</v>
      </c>
      <c r="F118" s="93">
        <v>5005000000</v>
      </c>
      <c r="G118" s="93">
        <v>16209255000</v>
      </c>
      <c r="H118" s="117">
        <v>0.31</v>
      </c>
      <c r="I118" s="117">
        <v>16.25</v>
      </c>
    </row>
    <row r="119" spans="1:9">
      <c r="A119" s="116">
        <v>1524</v>
      </c>
      <c r="B119" s="91">
        <v>-0.42</v>
      </c>
      <c r="C119" s="92">
        <v>0</v>
      </c>
      <c r="D119" s="94">
        <v>180952380.95238096</v>
      </c>
      <c r="E119" s="91">
        <f>VLOOKUP(1524,收盤價!A:C,3,0)</f>
        <v>5.31</v>
      </c>
      <c r="F119" s="93">
        <v>960857142.85714281</v>
      </c>
      <c r="G119" s="93">
        <v>2469090000</v>
      </c>
      <c r="H119" s="117">
        <v>0.39</v>
      </c>
      <c r="I119" s="117">
        <v>0</v>
      </c>
    </row>
    <row r="120" spans="1:9">
      <c r="A120" s="116">
        <v>1525</v>
      </c>
      <c r="B120" s="91">
        <v>1.24</v>
      </c>
      <c r="C120" s="92">
        <v>0</v>
      </c>
      <c r="D120" s="94">
        <v>69354838.709677413</v>
      </c>
      <c r="E120" s="91">
        <f>VLOOKUP(1525,收盤價!A:C,3,0)</f>
        <v>85.6</v>
      </c>
      <c r="F120" s="93">
        <v>5936774193.5483866</v>
      </c>
      <c r="G120" s="93">
        <v>1253675000</v>
      </c>
      <c r="H120" s="117">
        <v>4.74</v>
      </c>
      <c r="I120" s="117">
        <v>0</v>
      </c>
    </row>
    <row r="121" spans="1:9">
      <c r="A121" s="116">
        <v>1526</v>
      </c>
      <c r="B121" s="91">
        <v>0.39</v>
      </c>
      <c r="C121" s="92">
        <v>1</v>
      </c>
      <c r="D121" s="94">
        <v>48717948.71794872</v>
      </c>
      <c r="E121" s="91">
        <f>VLOOKUP(1526,收盤價!A:C,3,0)</f>
        <v>13.2</v>
      </c>
      <c r="F121" s="93">
        <v>643076923.07692301</v>
      </c>
      <c r="G121" s="93">
        <v>885561000</v>
      </c>
      <c r="H121" s="117">
        <v>0.73</v>
      </c>
      <c r="I121" s="117">
        <v>8.4600000000000009</v>
      </c>
    </row>
    <row r="122" spans="1:9">
      <c r="A122" s="116">
        <v>1527</v>
      </c>
      <c r="B122" s="91">
        <v>0.18</v>
      </c>
      <c r="C122" s="92">
        <v>1</v>
      </c>
      <c r="D122" s="94">
        <v>155555555.55555555</v>
      </c>
      <c r="E122" s="91">
        <f>VLOOKUP(1527,收盤價!A:C,3,0)</f>
        <v>59.1</v>
      </c>
      <c r="F122" s="93">
        <v>9193333333.333334</v>
      </c>
      <c r="G122" s="93">
        <v>3356930000</v>
      </c>
      <c r="H122" s="117">
        <v>2.74</v>
      </c>
      <c r="I122" s="117">
        <v>82.08</v>
      </c>
    </row>
    <row r="123" spans="1:9">
      <c r="A123" s="116">
        <v>1528</v>
      </c>
      <c r="B123" s="91">
        <v>0.05</v>
      </c>
      <c r="C123" s="92">
        <v>1</v>
      </c>
      <c r="D123" s="94">
        <v>160000000</v>
      </c>
      <c r="E123" s="91">
        <f>VLOOKUP(1528,收盤價!A:C,3,0)</f>
        <v>10.35</v>
      </c>
      <c r="F123" s="93">
        <v>1656000000</v>
      </c>
      <c r="G123" s="93">
        <v>3242512000</v>
      </c>
      <c r="H123" s="117">
        <v>0.51</v>
      </c>
      <c r="I123" s="117">
        <v>51.75</v>
      </c>
    </row>
    <row r="124" spans="1:9">
      <c r="A124" s="116">
        <v>3015</v>
      </c>
      <c r="B124" s="91">
        <v>-0.23</v>
      </c>
      <c r="C124" s="92">
        <v>1</v>
      </c>
      <c r="D124" s="94">
        <v>234782608.69565216</v>
      </c>
      <c r="E124" s="91" t="e">
        <f>VLOOKUP(3015,收盤價!A:C,3,0)</f>
        <v>#N/A</v>
      </c>
      <c r="F124" s="93">
        <v>4296521739.130435</v>
      </c>
      <c r="G124" s="93">
        <v>14187111000</v>
      </c>
      <c r="H124" s="117">
        <v>0.3</v>
      </c>
      <c r="I124" s="117">
        <v>0</v>
      </c>
    </row>
    <row r="125" spans="1:9">
      <c r="A125" s="116">
        <v>1530</v>
      </c>
      <c r="B125" s="91">
        <v>0.09</v>
      </c>
      <c r="C125" s="92">
        <v>0.64</v>
      </c>
      <c r="D125" s="94">
        <v>88888888.888888896</v>
      </c>
      <c r="E125" s="91">
        <f>VLOOKUP(1530,收盤價!A:C,3,0)</f>
        <v>29.55</v>
      </c>
      <c r="F125" s="93">
        <v>2626666666.666667</v>
      </c>
      <c r="G125" s="93">
        <v>3992031000</v>
      </c>
      <c r="H125" s="117">
        <v>0.66</v>
      </c>
      <c r="I125" s="117">
        <v>128.26</v>
      </c>
    </row>
    <row r="126" spans="1:9">
      <c r="A126" s="116">
        <v>1531</v>
      </c>
      <c r="B126" s="91">
        <v>0.24</v>
      </c>
      <c r="C126" s="92">
        <v>0.921875</v>
      </c>
      <c r="D126" s="94">
        <v>183333333.33333334</v>
      </c>
      <c r="E126" s="91">
        <f>VLOOKUP(1531,收盤價!A:C,3,0)</f>
        <v>17.75</v>
      </c>
      <c r="F126" s="93">
        <v>3254166666.666667</v>
      </c>
      <c r="G126" s="93">
        <v>2636323000</v>
      </c>
      <c r="H126" s="117">
        <v>1.23</v>
      </c>
      <c r="I126" s="117">
        <v>20.059999999999999</v>
      </c>
    </row>
    <row r="127" spans="1:9">
      <c r="A127" s="116">
        <v>6125</v>
      </c>
      <c r="B127" s="91">
        <v>7.0000000000000007E-2</v>
      </c>
      <c r="C127" s="92">
        <v>0</v>
      </c>
      <c r="D127" s="94">
        <v>242857142.85714284</v>
      </c>
      <c r="E127" s="91">
        <f>VLOOKUP(6125,收盤價!A:C,3,0)</f>
        <v>12.8</v>
      </c>
      <c r="F127" s="93">
        <v>3108571428.5714283</v>
      </c>
      <c r="G127" s="93">
        <v>9974491000</v>
      </c>
      <c r="H127" s="117">
        <v>0.31</v>
      </c>
      <c r="I127" s="117">
        <v>0</v>
      </c>
    </row>
    <row r="128" spans="1:9">
      <c r="A128" s="116">
        <v>1533</v>
      </c>
      <c r="B128" s="91">
        <v>0.28000000000000003</v>
      </c>
      <c r="C128" s="92">
        <v>1</v>
      </c>
      <c r="D128" s="94">
        <v>92857142.857142851</v>
      </c>
      <c r="E128" s="91">
        <f>VLOOKUP(1533,收盤價!A:C,3,0)</f>
        <v>47.25</v>
      </c>
      <c r="F128" s="93">
        <v>4387500000</v>
      </c>
      <c r="G128" s="93">
        <v>2543184000</v>
      </c>
      <c r="H128" s="117">
        <v>1.73</v>
      </c>
      <c r="I128" s="117">
        <v>42.19</v>
      </c>
    </row>
    <row r="129" spans="1:9">
      <c r="A129" s="116">
        <v>1535</v>
      </c>
      <c r="B129" s="91">
        <v>0.99</v>
      </c>
      <c r="C129" s="92">
        <v>0.7421875</v>
      </c>
      <c r="D129" s="94">
        <v>123232323.23232323</v>
      </c>
      <c r="E129" s="91">
        <f>VLOOKUP(1535,收盤價!A:C,3,0)</f>
        <v>60.9</v>
      </c>
      <c r="F129" s="93">
        <v>7504848484.848484</v>
      </c>
      <c r="G129" s="93">
        <v>10187573000</v>
      </c>
      <c r="H129" s="117">
        <v>0.74</v>
      </c>
      <c r="I129" s="117">
        <v>20.72</v>
      </c>
    </row>
    <row r="130" spans="1:9">
      <c r="A130" s="116">
        <v>6278</v>
      </c>
      <c r="B130" s="91">
        <v>0.66</v>
      </c>
      <c r="C130" s="92">
        <v>0.77850877192982459</v>
      </c>
      <c r="D130" s="94">
        <v>296969696.96969694</v>
      </c>
      <c r="E130" s="91">
        <f>VLOOKUP(6278,收盤價!A:C,3,0)</f>
        <v>31.9</v>
      </c>
      <c r="F130" s="93">
        <v>9473333333.3333321</v>
      </c>
      <c r="G130" s="93">
        <v>31123667000</v>
      </c>
      <c r="H130" s="117">
        <v>0.3</v>
      </c>
      <c r="I130" s="117">
        <v>15.52</v>
      </c>
    </row>
    <row r="131" spans="1:9">
      <c r="A131" s="116">
        <v>1537</v>
      </c>
      <c r="B131" s="91">
        <v>1.94</v>
      </c>
      <c r="C131" s="92">
        <v>1</v>
      </c>
      <c r="D131" s="94">
        <v>81958762.886597946</v>
      </c>
      <c r="E131" s="91">
        <f>VLOOKUP(1537,收盤價!A:C,3,0)</f>
        <v>117</v>
      </c>
      <c r="F131" s="93">
        <v>9589175257.7319603</v>
      </c>
      <c r="G131" s="93">
        <v>7014348000</v>
      </c>
      <c r="H131" s="117">
        <v>1.37</v>
      </c>
      <c r="I131" s="117">
        <v>15.08</v>
      </c>
    </row>
    <row r="132" spans="1:9">
      <c r="A132" s="116">
        <v>1538</v>
      </c>
      <c r="B132" s="91">
        <v>-0.9</v>
      </c>
      <c r="C132" s="92">
        <v>0.20370370370370369</v>
      </c>
      <c r="D132" s="94">
        <v>83333333.333333328</v>
      </c>
      <c r="E132" s="91">
        <f>VLOOKUP(1538,收盤價!A:C,3,0)</f>
        <v>5.01</v>
      </c>
      <c r="F132" s="93">
        <v>417499999.99999994</v>
      </c>
      <c r="G132" s="93">
        <v>816163000</v>
      </c>
      <c r="H132" s="117">
        <v>0.51</v>
      </c>
      <c r="I132" s="117">
        <v>0</v>
      </c>
    </row>
    <row r="133" spans="1:9">
      <c r="A133" s="116">
        <v>1539</v>
      </c>
      <c r="B133" s="91">
        <v>0.5</v>
      </c>
      <c r="C133" s="92">
        <v>1</v>
      </c>
      <c r="D133" s="94">
        <v>66000000</v>
      </c>
      <c r="E133" s="91">
        <f>VLOOKUP(1539,收盤價!A:C,3,0)</f>
        <v>37.75</v>
      </c>
      <c r="F133" s="93">
        <v>2491500000</v>
      </c>
      <c r="G133" s="93">
        <v>2607857000</v>
      </c>
      <c r="H133" s="117">
        <v>0.96</v>
      </c>
      <c r="I133" s="117">
        <v>18.88</v>
      </c>
    </row>
    <row r="134" spans="1:9">
      <c r="A134" s="116">
        <v>1540</v>
      </c>
      <c r="B134" s="91">
        <v>0.1</v>
      </c>
      <c r="C134" s="92">
        <v>1</v>
      </c>
      <c r="D134" s="94">
        <v>80000000</v>
      </c>
      <c r="E134" s="91">
        <f>VLOOKUP(1540,收盤價!A:C,3,0)</f>
        <v>17.149999999999999</v>
      </c>
      <c r="F134" s="93">
        <v>1372000000</v>
      </c>
      <c r="G134" s="93">
        <v>1084071000</v>
      </c>
      <c r="H134" s="117">
        <v>1.27</v>
      </c>
      <c r="I134" s="117">
        <v>42.87</v>
      </c>
    </row>
    <row r="135" spans="1:9">
      <c r="A135" s="116">
        <v>1541</v>
      </c>
      <c r="B135" s="91">
        <v>0.51</v>
      </c>
      <c r="C135" s="92">
        <v>1</v>
      </c>
      <c r="D135" s="94">
        <v>78431372.549019605</v>
      </c>
      <c r="E135" s="91">
        <f>VLOOKUP(1541,收盤價!A:C,3,0)</f>
        <v>58.2</v>
      </c>
      <c r="F135" s="93">
        <v>4564705882.3529415</v>
      </c>
      <c r="G135" s="93">
        <v>2894850000</v>
      </c>
      <c r="H135" s="117">
        <v>1.58</v>
      </c>
      <c r="I135" s="117">
        <v>28.53</v>
      </c>
    </row>
    <row r="136" spans="1:9">
      <c r="A136" s="116">
        <v>1558</v>
      </c>
      <c r="B136" s="91">
        <v>3.2</v>
      </c>
      <c r="C136" s="92">
        <v>1</v>
      </c>
      <c r="D136" s="94">
        <v>60312500</v>
      </c>
      <c r="E136" s="91">
        <f>VLOOKUP(1558,收盤價!A:C,3,0)</f>
        <v>144.5</v>
      </c>
      <c r="F136" s="93">
        <v>8715156250</v>
      </c>
      <c r="G136" s="93">
        <v>6215515000</v>
      </c>
      <c r="H136" s="117">
        <v>1.4</v>
      </c>
      <c r="I136" s="117">
        <v>11.29</v>
      </c>
    </row>
    <row r="137" spans="1:9">
      <c r="A137" s="116">
        <v>1560</v>
      </c>
      <c r="B137" s="91">
        <v>1.1299999999999999</v>
      </c>
      <c r="C137" s="92">
        <v>1</v>
      </c>
      <c r="D137" s="94">
        <v>141592920.3539823</v>
      </c>
      <c r="E137" s="91">
        <f>VLOOKUP(1560,收盤價!A:C,3,0)</f>
        <v>56.5</v>
      </c>
      <c r="F137" s="93">
        <v>8000000000</v>
      </c>
      <c r="G137" s="93">
        <v>4145779000</v>
      </c>
      <c r="H137" s="117">
        <v>1.93</v>
      </c>
      <c r="I137" s="117">
        <v>12.5</v>
      </c>
    </row>
    <row r="138" spans="1:9">
      <c r="A138" s="116">
        <v>1565</v>
      </c>
      <c r="B138" s="91">
        <v>5.7</v>
      </c>
      <c r="C138" s="92">
        <v>1</v>
      </c>
      <c r="D138" s="94">
        <v>50526315.789473683</v>
      </c>
      <c r="E138" s="91">
        <f>VLOOKUP(1565,收盤價!A:C,3,0)</f>
        <v>496</v>
      </c>
      <c r="F138" s="93">
        <v>25061052631.578945</v>
      </c>
      <c r="G138" s="93">
        <v>5472352000</v>
      </c>
      <c r="H138" s="117">
        <v>4.58</v>
      </c>
      <c r="I138" s="117">
        <v>21.75</v>
      </c>
    </row>
    <row r="139" spans="1:9">
      <c r="A139" s="116">
        <v>1566</v>
      </c>
      <c r="B139" s="91">
        <v>0.12</v>
      </c>
      <c r="C139" s="92">
        <v>0</v>
      </c>
      <c r="D139" s="94">
        <v>66666666.666666672</v>
      </c>
      <c r="E139" s="91">
        <f>VLOOKUP(1566,收盤價!A:C,3,0)</f>
        <v>20.6</v>
      </c>
      <c r="F139" s="93">
        <v>1373333333.3333335</v>
      </c>
      <c r="G139" s="93">
        <v>3294781000</v>
      </c>
      <c r="H139" s="117">
        <v>0.42</v>
      </c>
      <c r="I139" s="117">
        <v>0</v>
      </c>
    </row>
    <row r="140" spans="1:9">
      <c r="A140" s="116">
        <v>1568</v>
      </c>
      <c r="B140" s="91">
        <v>0.28999999999999998</v>
      </c>
      <c r="C140" s="92">
        <v>1</v>
      </c>
      <c r="D140" s="94">
        <v>103448275.86206897</v>
      </c>
      <c r="E140" s="91">
        <f>VLOOKUP(1568,收盤價!A:C,3,0)</f>
        <v>16.600000000000001</v>
      </c>
      <c r="F140" s="93">
        <v>1717241379.3103449</v>
      </c>
      <c r="G140" s="93">
        <v>2358066000</v>
      </c>
      <c r="H140" s="117">
        <v>0.73</v>
      </c>
      <c r="I140" s="117">
        <v>14.31</v>
      </c>
    </row>
    <row r="141" spans="1:9">
      <c r="A141" s="116">
        <v>1569</v>
      </c>
      <c r="B141" s="91">
        <v>-1.77</v>
      </c>
      <c r="C141" s="92">
        <v>0.94921875</v>
      </c>
      <c r="D141" s="94">
        <v>85875706.21468927</v>
      </c>
      <c r="E141" s="91">
        <f>VLOOKUP(1569,收盤價!A:C,3,0)</f>
        <v>11.7</v>
      </c>
      <c r="F141" s="93">
        <v>1004745762.7118644</v>
      </c>
      <c r="G141" s="93">
        <v>2377613000</v>
      </c>
      <c r="H141" s="117">
        <v>0.42</v>
      </c>
      <c r="I141" s="117">
        <v>0</v>
      </c>
    </row>
    <row r="142" spans="1:9">
      <c r="A142" s="116">
        <v>1570</v>
      </c>
      <c r="B142" s="91">
        <v>0.4</v>
      </c>
      <c r="C142" s="92">
        <v>1</v>
      </c>
      <c r="D142" s="94">
        <v>50000000</v>
      </c>
      <c r="E142" s="91">
        <f>VLOOKUP(1570,收盤價!A:C,3,0)</f>
        <v>17.100000000000001</v>
      </c>
      <c r="F142" s="93">
        <v>855000000.00000012</v>
      </c>
      <c r="G142" s="93">
        <v>661363000</v>
      </c>
      <c r="H142" s="117">
        <v>1.29</v>
      </c>
      <c r="I142" s="117">
        <v>10.69</v>
      </c>
    </row>
    <row r="143" spans="1:9">
      <c r="A143" s="116">
        <v>1580</v>
      </c>
      <c r="B143" s="91">
        <v>2.0299999999999998</v>
      </c>
      <c r="C143" s="92">
        <v>0.97126436781609193</v>
      </c>
      <c r="D143" s="94">
        <v>47290640.394088678</v>
      </c>
      <c r="E143" s="91">
        <f>VLOOKUP(1580,收盤價!A:C,3,0)</f>
        <v>117</v>
      </c>
      <c r="F143" s="93">
        <v>5533004926.1083755</v>
      </c>
      <c r="G143" s="93">
        <v>4233143000</v>
      </c>
      <c r="H143" s="117">
        <v>1.31</v>
      </c>
      <c r="I143" s="117">
        <v>14.84</v>
      </c>
    </row>
    <row r="144" spans="1:9">
      <c r="A144" s="116">
        <v>1582</v>
      </c>
      <c r="B144" s="91">
        <v>1.1599999999999999</v>
      </c>
      <c r="C144" s="92">
        <v>0.8498498498498499</v>
      </c>
      <c r="D144" s="94">
        <v>150000000</v>
      </c>
      <c r="E144" s="91">
        <f>VLOOKUP(1582,收盤價!A:C,3,0)</f>
        <v>50.6</v>
      </c>
      <c r="F144" s="93">
        <v>7590000000</v>
      </c>
      <c r="G144" s="93">
        <v>9856052000</v>
      </c>
      <c r="H144" s="117">
        <v>0.77</v>
      </c>
      <c r="I144" s="117">
        <v>12.83</v>
      </c>
    </row>
    <row r="145" spans="1:9">
      <c r="A145" s="116">
        <v>1583</v>
      </c>
      <c r="B145" s="91">
        <v>0.83</v>
      </c>
      <c r="C145" s="92">
        <v>1</v>
      </c>
      <c r="D145" s="94">
        <v>100000000</v>
      </c>
      <c r="E145" s="91">
        <f>VLOOKUP(1583,收盤價!A:C,3,0)</f>
        <v>64.5</v>
      </c>
      <c r="F145" s="93">
        <v>6450000000</v>
      </c>
      <c r="G145" s="93">
        <v>7826453000</v>
      </c>
      <c r="H145" s="117">
        <v>0.82</v>
      </c>
      <c r="I145" s="117">
        <v>19.43</v>
      </c>
    </row>
    <row r="146" spans="1:9">
      <c r="A146" s="116">
        <v>1584</v>
      </c>
      <c r="B146" s="91">
        <v>0.05</v>
      </c>
      <c r="C146" s="92">
        <v>0</v>
      </c>
      <c r="D146" s="94">
        <v>100000000</v>
      </c>
      <c r="E146" s="91">
        <f>VLOOKUP(1584,收盤價!A:C,3,0)</f>
        <v>13.35</v>
      </c>
      <c r="F146" s="93">
        <v>1335000000</v>
      </c>
      <c r="G146" s="93">
        <v>1127528000</v>
      </c>
      <c r="H146" s="117">
        <v>1.18</v>
      </c>
      <c r="I146" s="117">
        <v>0</v>
      </c>
    </row>
    <row r="147" spans="1:9">
      <c r="A147" s="116">
        <v>1586</v>
      </c>
      <c r="B147" s="91">
        <v>-0.36</v>
      </c>
      <c r="C147" s="92">
        <v>0</v>
      </c>
      <c r="D147" s="94">
        <v>44444444.444444448</v>
      </c>
      <c r="E147" s="91">
        <f>VLOOKUP(1586,收盤價!A:C,3,0)</f>
        <v>22.45</v>
      </c>
      <c r="F147" s="93">
        <v>997777777.77777779</v>
      </c>
      <c r="G147" s="93">
        <v>1695259000</v>
      </c>
      <c r="H147" s="117">
        <v>0.59</v>
      </c>
      <c r="I147" s="117">
        <v>0</v>
      </c>
    </row>
    <row r="148" spans="1:9">
      <c r="A148" s="116">
        <v>1589</v>
      </c>
      <c r="B148" s="91">
        <v>2.87</v>
      </c>
      <c r="C148" s="92">
        <v>0.955719557195572</v>
      </c>
      <c r="D148" s="94">
        <v>107665505.22648083</v>
      </c>
      <c r="E148" s="91">
        <f>VLOOKUP(1589,收盤價!A:C,3,0)</f>
        <v>219.5</v>
      </c>
      <c r="F148" s="93">
        <v>23632578397.21254</v>
      </c>
      <c r="G148" s="93">
        <v>7860595000</v>
      </c>
      <c r="H148" s="117">
        <v>3.01</v>
      </c>
      <c r="I148" s="117">
        <v>20.010000000000002</v>
      </c>
    </row>
    <row r="149" spans="1:9">
      <c r="A149" s="116">
        <v>1590</v>
      </c>
      <c r="B149" s="91">
        <v>3.1</v>
      </c>
      <c r="C149" s="92">
        <v>0.98877805486284287</v>
      </c>
      <c r="D149" s="94">
        <v>179032258.06451613</v>
      </c>
      <c r="E149" s="91">
        <f>VLOOKUP(1590,收盤價!A:C,3,0)</f>
        <v>169</v>
      </c>
      <c r="F149" s="93">
        <v>30256451612.903225</v>
      </c>
      <c r="G149" s="93">
        <v>8628393000</v>
      </c>
      <c r="H149" s="117">
        <v>3.51</v>
      </c>
      <c r="I149" s="117">
        <v>13.78</v>
      </c>
    </row>
    <row r="150" spans="1:9">
      <c r="A150" s="116">
        <v>1591</v>
      </c>
      <c r="B150" s="91">
        <v>0.25</v>
      </c>
      <c r="C150" s="92">
        <v>0.76923076923076927</v>
      </c>
      <c r="D150" s="94">
        <v>28000000</v>
      </c>
      <c r="E150" s="91">
        <f>VLOOKUP(1591,收盤價!A:C,3,0)</f>
        <v>26.75</v>
      </c>
      <c r="F150" s="93">
        <v>749000000</v>
      </c>
      <c r="G150" s="93">
        <v>674835000</v>
      </c>
      <c r="H150" s="117">
        <v>1.1100000000000001</v>
      </c>
      <c r="I150" s="117">
        <v>34.78</v>
      </c>
    </row>
    <row r="151" spans="1:9">
      <c r="A151" s="116">
        <v>1592</v>
      </c>
      <c r="B151" s="91">
        <v>0.41</v>
      </c>
      <c r="C151" s="92">
        <v>1</v>
      </c>
      <c r="D151" s="94">
        <v>102439024.3902439</v>
      </c>
      <c r="E151" s="91">
        <f>VLOOKUP(1592,收盤價!A:C,3,0)</f>
        <v>30.3</v>
      </c>
      <c r="F151" s="93">
        <v>3103902439.0243902</v>
      </c>
      <c r="G151" s="93">
        <v>4895932000</v>
      </c>
      <c r="H151" s="117">
        <v>0.63</v>
      </c>
      <c r="I151" s="117">
        <v>18.48</v>
      </c>
    </row>
    <row r="152" spans="1:9">
      <c r="A152" s="116">
        <v>1593</v>
      </c>
      <c r="B152" s="91">
        <v>0.2</v>
      </c>
      <c r="C152" s="92">
        <v>1</v>
      </c>
      <c r="D152" s="94">
        <v>30000000</v>
      </c>
      <c r="E152" s="91">
        <f>VLOOKUP(1593,收盤價!A:C,3,0)</f>
        <v>38</v>
      </c>
      <c r="F152" s="93">
        <v>1140000000</v>
      </c>
      <c r="G152" s="93">
        <v>889172000</v>
      </c>
      <c r="H152" s="117">
        <v>1.28</v>
      </c>
      <c r="I152" s="117">
        <v>47.5</v>
      </c>
    </row>
    <row r="153" spans="1:9">
      <c r="A153" s="116">
        <v>1595</v>
      </c>
      <c r="B153" s="91">
        <v>1.32</v>
      </c>
      <c r="C153" s="92">
        <v>1</v>
      </c>
      <c r="D153" s="94">
        <v>38636363.636363633</v>
      </c>
      <c r="E153" s="91">
        <f>VLOOKUP(1595,收盤價!A:C,3,0)</f>
        <v>51</v>
      </c>
      <c r="F153" s="93">
        <v>1970454545.4545453</v>
      </c>
      <c r="G153" s="93">
        <v>1216831000</v>
      </c>
      <c r="H153" s="117">
        <v>1.62</v>
      </c>
      <c r="I153" s="117">
        <v>9.66</v>
      </c>
    </row>
    <row r="154" spans="1:9">
      <c r="A154" s="116">
        <v>1597</v>
      </c>
      <c r="B154" s="91">
        <v>0.44</v>
      </c>
      <c r="C154" s="92">
        <v>1</v>
      </c>
      <c r="D154" s="94">
        <v>56818181.81818182</v>
      </c>
      <c r="E154" s="91">
        <f>VLOOKUP(1597,收盤價!A:C,3,0)</f>
        <v>27.7</v>
      </c>
      <c r="F154" s="93">
        <v>1573863636.3636365</v>
      </c>
      <c r="G154" s="93">
        <v>997393000</v>
      </c>
      <c r="H154" s="117">
        <v>1.58</v>
      </c>
      <c r="I154" s="117">
        <v>15.74</v>
      </c>
    </row>
    <row r="155" spans="1:9">
      <c r="A155" s="116">
        <v>1599</v>
      </c>
      <c r="B155" s="91">
        <v>1.46</v>
      </c>
      <c r="C155" s="92">
        <v>0.87301587301587302</v>
      </c>
      <c r="D155" s="94">
        <v>45205479.452054799</v>
      </c>
      <c r="E155" s="91">
        <f>VLOOKUP(1599,收盤價!A:C,3,0)</f>
        <v>60</v>
      </c>
      <c r="F155" s="93">
        <v>2712328767.1232882</v>
      </c>
      <c r="G155" s="93">
        <v>2749263000</v>
      </c>
      <c r="H155" s="117">
        <v>0.99</v>
      </c>
      <c r="I155" s="117">
        <v>11.77</v>
      </c>
    </row>
    <row r="156" spans="1:9">
      <c r="A156" s="116">
        <v>1215</v>
      </c>
      <c r="B156" s="91">
        <v>0.42</v>
      </c>
      <c r="C156" s="92">
        <v>0.88808664259927794</v>
      </c>
      <c r="D156" s="94">
        <v>242857142.85714287</v>
      </c>
      <c r="E156" s="91">
        <f>VLOOKUP(1215,收盤價!A:C,3,0)</f>
        <v>22</v>
      </c>
      <c r="F156" s="93">
        <v>5342857142.8571434</v>
      </c>
      <c r="G156" s="93">
        <v>16959588000</v>
      </c>
      <c r="H156" s="117">
        <v>0.32</v>
      </c>
      <c r="I156" s="117">
        <v>14.75</v>
      </c>
    </row>
    <row r="157" spans="1:9">
      <c r="A157" s="116">
        <v>2007</v>
      </c>
      <c r="B157" s="91">
        <v>-0.21</v>
      </c>
      <c r="C157" s="92">
        <v>0.55645161290322576</v>
      </c>
      <c r="D157" s="94">
        <v>642857142.85714293</v>
      </c>
      <c r="E157" s="91">
        <f>VLOOKUP(2007,收盤價!A:C,3,0)</f>
        <v>4.2699999999999996</v>
      </c>
      <c r="F157" s="93">
        <v>2745000000</v>
      </c>
      <c r="G157" s="93">
        <v>7323947000</v>
      </c>
      <c r="H157" s="117">
        <v>0.37</v>
      </c>
      <c r="I157" s="117">
        <v>0</v>
      </c>
    </row>
    <row r="158" spans="1:9">
      <c r="A158" s="116">
        <v>1605</v>
      </c>
      <c r="B158" s="91">
        <v>0.2</v>
      </c>
      <c r="C158" s="92">
        <v>0.55836575875486383</v>
      </c>
      <c r="D158" s="94">
        <v>3550000000</v>
      </c>
      <c r="E158" s="91">
        <f>VLOOKUP(1605,收盤價!A:C,3,0)</f>
        <v>7.59</v>
      </c>
      <c r="F158" s="93">
        <v>26944500000</v>
      </c>
      <c r="G158" s="93">
        <v>154734761000</v>
      </c>
      <c r="H158" s="117">
        <v>0.17</v>
      </c>
      <c r="I158" s="117">
        <v>16.989999999999998</v>
      </c>
    </row>
    <row r="159" spans="1:9">
      <c r="A159" s="116">
        <v>2543</v>
      </c>
      <c r="B159" s="91">
        <v>0.09</v>
      </c>
      <c r="C159" s="92">
        <v>0.4861111111111111</v>
      </c>
      <c r="D159" s="94">
        <v>233333333.33333334</v>
      </c>
      <c r="E159" s="91">
        <f>VLOOKUP(2543,收盤價!A:C,3,0)</f>
        <v>8.31</v>
      </c>
      <c r="F159" s="93">
        <v>1939000000.0000002</v>
      </c>
      <c r="G159" s="93">
        <v>6263154000</v>
      </c>
      <c r="H159" s="117">
        <v>0.31</v>
      </c>
      <c r="I159" s="117">
        <v>47.49</v>
      </c>
    </row>
    <row r="160" spans="1:9">
      <c r="A160" s="116">
        <v>2034</v>
      </c>
      <c r="B160" s="91">
        <v>0.21</v>
      </c>
      <c r="C160" s="92">
        <v>1</v>
      </c>
      <c r="D160" s="94">
        <v>371428571.42857146</v>
      </c>
      <c r="E160" s="91">
        <f>VLOOKUP(2034,收盤價!A:C,3,0)</f>
        <v>19.399999999999999</v>
      </c>
      <c r="F160" s="93">
        <v>7205714285.7142859</v>
      </c>
      <c r="G160" s="93">
        <v>20941873000</v>
      </c>
      <c r="H160" s="117">
        <v>0.34</v>
      </c>
      <c r="I160" s="117">
        <v>23.1</v>
      </c>
    </row>
    <row r="161" spans="1:9">
      <c r="A161" s="116">
        <v>2450</v>
      </c>
      <c r="B161" s="91">
        <v>0.92</v>
      </c>
      <c r="C161" s="92">
        <v>0.60869565217391308</v>
      </c>
      <c r="D161" s="94">
        <v>257608695.65217391</v>
      </c>
      <c r="E161" s="91">
        <f>VLOOKUP(2450,收盤價!A:C,3,0)</f>
        <v>47.25</v>
      </c>
      <c r="F161" s="93">
        <v>12172010869.565218</v>
      </c>
      <c r="G161" s="93">
        <v>37471821000</v>
      </c>
      <c r="H161" s="117">
        <v>0.32</v>
      </c>
      <c r="I161" s="117">
        <v>21.09</v>
      </c>
    </row>
    <row r="162" spans="1:9">
      <c r="A162" s="116">
        <v>3706</v>
      </c>
      <c r="B162" s="91">
        <v>0.69</v>
      </c>
      <c r="C162" s="92">
        <v>0.22665267576075551</v>
      </c>
      <c r="D162" s="94">
        <v>755072463.768116</v>
      </c>
      <c r="E162" s="91">
        <f>VLOOKUP(3706,收盤價!A:C,3,0)</f>
        <v>24.8</v>
      </c>
      <c r="F162" s="93">
        <v>18725797101.449276</v>
      </c>
      <c r="G162" s="93">
        <v>51537015000</v>
      </c>
      <c r="H162" s="117">
        <v>0.36</v>
      </c>
      <c r="I162" s="117">
        <v>39.64</v>
      </c>
    </row>
    <row r="163" spans="1:9">
      <c r="A163" s="116">
        <v>2486</v>
      </c>
      <c r="B163" s="91">
        <v>-0.37</v>
      </c>
      <c r="C163" s="92">
        <v>0.73493975903614461</v>
      </c>
      <c r="D163" s="94">
        <v>202702702.7027027</v>
      </c>
      <c r="E163" s="91">
        <f>VLOOKUP(2486,收盤價!A:C,3,0)</f>
        <v>11.5</v>
      </c>
      <c r="F163" s="93">
        <v>2331081081.0810809</v>
      </c>
      <c r="G163" s="93">
        <v>6611635000</v>
      </c>
      <c r="H163" s="117">
        <v>0.35</v>
      </c>
      <c r="I163" s="117">
        <v>0</v>
      </c>
    </row>
    <row r="164" spans="1:9">
      <c r="A164" s="116">
        <v>3260</v>
      </c>
      <c r="B164" s="91">
        <v>-1.19</v>
      </c>
      <c r="C164" s="92">
        <v>1</v>
      </c>
      <c r="D164" s="94">
        <v>223529411.7647059</v>
      </c>
      <c r="E164" s="91">
        <f>VLOOKUP(3260,收盤價!A:C,3,0)</f>
        <v>34.1</v>
      </c>
      <c r="F164" s="93">
        <v>7622352941.1764717</v>
      </c>
      <c r="G164" s="93">
        <v>22629551000</v>
      </c>
      <c r="H164" s="117">
        <v>0.34</v>
      </c>
      <c r="I164" s="117">
        <v>0</v>
      </c>
    </row>
    <row r="165" spans="1:9">
      <c r="A165" s="116">
        <v>1615</v>
      </c>
      <c r="B165" s="91">
        <v>0</v>
      </c>
      <c r="C165" s="92">
        <v>0</v>
      </c>
      <c r="D165" s="94">
        <v>0</v>
      </c>
      <c r="E165" s="91">
        <f>VLOOKUP(1615,收盤價!A:C,3,0)</f>
        <v>10.050000000000001</v>
      </c>
      <c r="F165" s="93">
        <v>0</v>
      </c>
      <c r="G165" s="93">
        <v>2536092000</v>
      </c>
      <c r="H165" s="117">
        <v>0</v>
      </c>
      <c r="I165" s="117">
        <v>0</v>
      </c>
    </row>
    <row r="166" spans="1:9">
      <c r="A166" s="116">
        <v>1616</v>
      </c>
      <c r="B166" s="91">
        <v>-0.27</v>
      </c>
      <c r="C166" s="92">
        <v>0</v>
      </c>
      <c r="D166" s="94">
        <v>192592592.59259257</v>
      </c>
      <c r="E166" s="91">
        <f>VLOOKUP(1616,收盤價!A:C,3,0)</f>
        <v>4.92</v>
      </c>
      <c r="F166" s="93">
        <v>947555555.55555546</v>
      </c>
      <c r="G166" s="93">
        <v>3600138000</v>
      </c>
      <c r="H166" s="117">
        <v>0.26</v>
      </c>
      <c r="I166" s="117">
        <v>0</v>
      </c>
    </row>
    <row r="167" spans="1:9">
      <c r="A167" s="116">
        <v>3519</v>
      </c>
      <c r="B167" s="91">
        <v>-1.34</v>
      </c>
      <c r="C167" s="92">
        <v>1</v>
      </c>
      <c r="D167" s="94">
        <v>392537313.43283582</v>
      </c>
      <c r="E167" s="91">
        <f>VLOOKUP(3519,收盤價!A:C,3,0)</f>
        <v>16.850000000000001</v>
      </c>
      <c r="F167" s="93">
        <v>6614253731.3432837</v>
      </c>
      <c r="G167" s="93">
        <v>15551036000</v>
      </c>
      <c r="H167" s="117">
        <v>0.43</v>
      </c>
      <c r="I167" s="117">
        <v>0</v>
      </c>
    </row>
    <row r="168" spans="1:9">
      <c r="A168" s="116">
        <v>1626</v>
      </c>
      <c r="B168" s="91">
        <v>1.1200000000000001</v>
      </c>
      <c r="C168" s="92">
        <v>1</v>
      </c>
      <c r="D168" s="94">
        <v>123214285.7142857</v>
      </c>
      <c r="E168" s="91">
        <f>VLOOKUP(1626,收盤價!A:C,3,0)</f>
        <v>27.65</v>
      </c>
      <c r="F168" s="93">
        <v>3406874999.9999995</v>
      </c>
      <c r="G168" s="93">
        <v>11385018000</v>
      </c>
      <c r="H168" s="117">
        <v>0.3</v>
      </c>
      <c r="I168" s="117">
        <v>6.17</v>
      </c>
    </row>
    <row r="169" spans="1:9">
      <c r="A169" s="116">
        <v>2010</v>
      </c>
      <c r="B169" s="91">
        <v>0.16</v>
      </c>
      <c r="C169" s="92">
        <v>0.33653846153846156</v>
      </c>
      <c r="D169" s="94">
        <v>631250000</v>
      </c>
      <c r="E169" s="91">
        <f>VLOOKUP(2010,收盤價!A:C,3,0)</f>
        <v>9.6999999999999993</v>
      </c>
      <c r="F169" s="93">
        <v>6123125000</v>
      </c>
      <c r="G169" s="93">
        <v>17566023000</v>
      </c>
      <c r="H169" s="117">
        <v>0.35</v>
      </c>
      <c r="I169" s="117">
        <v>45.04</v>
      </c>
    </row>
    <row r="170" spans="1:9">
      <c r="A170" s="116">
        <v>3062</v>
      </c>
      <c r="B170" s="91">
        <v>0.23</v>
      </c>
      <c r="C170" s="92">
        <v>1</v>
      </c>
      <c r="D170" s="94">
        <v>330434782.60869563</v>
      </c>
      <c r="E170" s="91">
        <f>VLOOKUP(3062,收盤價!A:C,3,0)</f>
        <v>17</v>
      </c>
      <c r="F170" s="93">
        <v>5617391304.347826</v>
      </c>
      <c r="G170" s="93">
        <v>15589549000</v>
      </c>
      <c r="H170" s="117">
        <v>0.36</v>
      </c>
      <c r="I170" s="117">
        <v>18.48</v>
      </c>
    </row>
    <row r="171" spans="1:9">
      <c r="A171" s="116">
        <v>1704</v>
      </c>
      <c r="B171" s="91">
        <v>0.7</v>
      </c>
      <c r="C171" s="92">
        <v>0.67720828789531085</v>
      </c>
      <c r="D171" s="94">
        <v>848571428.57142866</v>
      </c>
      <c r="E171" s="91">
        <f>VLOOKUP(1704,收盤價!A:C,3,0)</f>
        <v>26.75</v>
      </c>
      <c r="F171" s="93">
        <v>22699285714.285717</v>
      </c>
      <c r="G171" s="93">
        <v>33364675000</v>
      </c>
      <c r="H171" s="117">
        <v>0.68</v>
      </c>
      <c r="I171" s="117">
        <v>14.11</v>
      </c>
    </row>
    <row r="172" spans="1:9">
      <c r="A172" s="116">
        <v>1707</v>
      </c>
      <c r="B172" s="91">
        <v>1.87</v>
      </c>
      <c r="C172" s="92">
        <v>0.91493775933609955</v>
      </c>
      <c r="D172" s="94">
        <v>130481283.42245989</v>
      </c>
      <c r="E172" s="91">
        <f>VLOOKUP(1707,收盤價!A:C,3,0)</f>
        <v>178</v>
      </c>
      <c r="F172" s="93">
        <v>23225668449.197861</v>
      </c>
      <c r="G172" s="93">
        <v>6926464000</v>
      </c>
      <c r="H172" s="117">
        <v>3.35</v>
      </c>
      <c r="I172" s="117">
        <v>26.01</v>
      </c>
    </row>
    <row r="173" spans="1:9">
      <c r="A173" s="116">
        <v>1708</v>
      </c>
      <c r="B173" s="91">
        <v>1.01</v>
      </c>
      <c r="C173" s="92">
        <v>0.98734177215189878</v>
      </c>
      <c r="D173" s="94">
        <v>182178217.82178217</v>
      </c>
      <c r="E173" s="91">
        <f>VLOOKUP(1708,收盤價!A:C,3,0)</f>
        <v>34.65</v>
      </c>
      <c r="F173" s="93">
        <v>6312475247.5247517</v>
      </c>
      <c r="G173" s="93">
        <v>4626942000</v>
      </c>
      <c r="H173" s="117">
        <v>1.36</v>
      </c>
      <c r="I173" s="117">
        <v>8.69</v>
      </c>
    </row>
    <row r="174" spans="1:9">
      <c r="A174" s="116">
        <v>4306</v>
      </c>
      <c r="B174" s="91">
        <v>0.69</v>
      </c>
      <c r="C174" s="92">
        <v>6.25E-2</v>
      </c>
      <c r="D174" s="94">
        <v>511594202.89855075</v>
      </c>
      <c r="E174" s="91">
        <f>VLOOKUP(4306,收盤價!A:C,3,0)</f>
        <v>12.55</v>
      </c>
      <c r="F174" s="93">
        <v>6420507246.376812</v>
      </c>
      <c r="G174" s="93">
        <v>18523005000</v>
      </c>
      <c r="H174" s="117">
        <v>0.35</v>
      </c>
      <c r="I174" s="117">
        <v>72.75</v>
      </c>
    </row>
    <row r="175" spans="1:9">
      <c r="A175" s="116">
        <v>1710</v>
      </c>
      <c r="B175" s="91">
        <v>0.47</v>
      </c>
      <c r="C175" s="92">
        <v>1</v>
      </c>
      <c r="D175" s="94">
        <v>874468085.10638309</v>
      </c>
      <c r="E175" s="91">
        <f>VLOOKUP(1710,收盤價!A:C,3,0)</f>
        <v>24.75</v>
      </c>
      <c r="F175" s="93">
        <v>21643085106.38298</v>
      </c>
      <c r="G175" s="93">
        <v>13556292000</v>
      </c>
      <c r="H175" s="117">
        <v>1.6</v>
      </c>
      <c r="I175" s="117">
        <v>13.16</v>
      </c>
    </row>
    <row r="176" spans="1:9">
      <c r="A176" s="116">
        <v>4915</v>
      </c>
      <c r="B176" s="91">
        <v>0.91</v>
      </c>
      <c r="C176" s="92">
        <v>0.72620599739243807</v>
      </c>
      <c r="D176" s="94">
        <v>438461538.46153843</v>
      </c>
      <c r="E176" s="91">
        <f>VLOOKUP(4915,收盤價!A:C,3,0)</f>
        <v>44</v>
      </c>
      <c r="F176" s="93">
        <v>19292307692.30769</v>
      </c>
      <c r="G176" s="93">
        <v>56914419000</v>
      </c>
      <c r="H176" s="117">
        <v>0.34</v>
      </c>
      <c r="I176" s="117">
        <v>16.649999999999999</v>
      </c>
    </row>
    <row r="177" spans="1:9">
      <c r="A177" s="116">
        <v>5475</v>
      </c>
      <c r="B177" s="91">
        <v>-0.45</v>
      </c>
      <c r="C177" s="92">
        <v>1</v>
      </c>
      <c r="D177" s="94">
        <v>220000000</v>
      </c>
      <c r="E177" s="91">
        <f>VLOOKUP(5475,收盤價!A:C,3,0)</f>
        <v>4.4000000000000004</v>
      </c>
      <c r="F177" s="93">
        <v>968000000.00000012</v>
      </c>
      <c r="G177" s="93">
        <v>2559438000</v>
      </c>
      <c r="H177" s="117">
        <v>0.38</v>
      </c>
      <c r="I177" s="117">
        <v>0</v>
      </c>
    </row>
    <row r="178" spans="1:9">
      <c r="A178" s="116">
        <v>1713</v>
      </c>
      <c r="B178" s="91">
        <v>0.12</v>
      </c>
      <c r="C178" s="92">
        <v>0.7142857142857143</v>
      </c>
      <c r="D178" s="94">
        <v>141666666.66666669</v>
      </c>
      <c r="E178" s="91">
        <f>VLOOKUP(1713,收盤價!A:C,3,0)</f>
        <v>15.8</v>
      </c>
      <c r="F178" s="93">
        <v>2238333333.333334</v>
      </c>
      <c r="G178" s="93">
        <v>736032000</v>
      </c>
      <c r="H178" s="117">
        <v>3.04</v>
      </c>
      <c r="I178" s="117">
        <v>46.08</v>
      </c>
    </row>
    <row r="179" spans="1:9">
      <c r="A179" s="116">
        <v>1714</v>
      </c>
      <c r="B179" s="91">
        <v>0.22</v>
      </c>
      <c r="C179" s="92">
        <v>1</v>
      </c>
      <c r="D179" s="94">
        <v>950000000</v>
      </c>
      <c r="E179" s="91">
        <f>VLOOKUP(1714,收盤價!A:C,3,0)</f>
        <v>7.54</v>
      </c>
      <c r="F179" s="93">
        <v>7163000000</v>
      </c>
      <c r="G179" s="93">
        <v>47915467000</v>
      </c>
      <c r="H179" s="117">
        <v>0.15</v>
      </c>
      <c r="I179" s="117">
        <v>8.57</v>
      </c>
    </row>
    <row r="180" spans="1:9">
      <c r="A180" s="116">
        <v>1608</v>
      </c>
      <c r="B180" s="91">
        <v>-0.02</v>
      </c>
      <c r="C180" s="92">
        <v>0</v>
      </c>
      <c r="D180" s="94">
        <v>450000000</v>
      </c>
      <c r="E180" s="91">
        <f>VLOOKUP(1608,收盤價!A:C,3,0)</f>
        <v>7.22</v>
      </c>
      <c r="F180" s="93">
        <v>3249000000</v>
      </c>
      <c r="G180" s="93">
        <v>9054206000</v>
      </c>
      <c r="H180" s="117">
        <v>0.36</v>
      </c>
      <c r="I180" s="117">
        <v>0</v>
      </c>
    </row>
    <row r="181" spans="1:9">
      <c r="A181" s="116">
        <v>1717</v>
      </c>
      <c r="B181" s="91">
        <v>0.64</v>
      </c>
      <c r="C181" s="92">
        <v>1</v>
      </c>
      <c r="D181" s="94">
        <v>1025000000</v>
      </c>
      <c r="E181" s="91">
        <f>VLOOKUP(1717,收盤價!A:C,3,0)</f>
        <v>30.85</v>
      </c>
      <c r="F181" s="93">
        <v>31621250000</v>
      </c>
      <c r="G181" s="93">
        <v>39527777000</v>
      </c>
      <c r="H181" s="117">
        <v>0.8</v>
      </c>
      <c r="I181" s="117">
        <v>12.05</v>
      </c>
    </row>
    <row r="182" spans="1:9">
      <c r="A182" s="116">
        <v>1720</v>
      </c>
      <c r="B182" s="91">
        <v>0.42</v>
      </c>
      <c r="C182" s="92">
        <v>0.76271186440677963</v>
      </c>
      <c r="D182" s="94">
        <v>176190476.19047621</v>
      </c>
      <c r="E182" s="91">
        <f>VLOOKUP(1720,收盤價!A:C,3,0)</f>
        <v>34.950000000000003</v>
      </c>
      <c r="F182" s="93">
        <v>6157857142.8571444</v>
      </c>
      <c r="G182" s="93">
        <v>3279607000</v>
      </c>
      <c r="H182" s="117">
        <v>1.88</v>
      </c>
      <c r="I182" s="117">
        <v>27.28</v>
      </c>
    </row>
    <row r="183" spans="1:9">
      <c r="A183" s="116">
        <v>1721</v>
      </c>
      <c r="B183" s="91">
        <v>0.14000000000000001</v>
      </c>
      <c r="C183" s="92">
        <v>1</v>
      </c>
      <c r="D183" s="94">
        <v>85714285.714285702</v>
      </c>
      <c r="E183" s="91">
        <f>VLOOKUP(1721,收盤價!A:C,3,0)</f>
        <v>10.9</v>
      </c>
      <c r="F183" s="93">
        <v>934285714.28571415</v>
      </c>
      <c r="G183" s="93">
        <v>1467828000</v>
      </c>
      <c r="H183" s="117">
        <v>0.64</v>
      </c>
      <c r="I183" s="117">
        <v>19.46</v>
      </c>
    </row>
    <row r="184" spans="1:9">
      <c r="A184" s="116">
        <v>1722</v>
      </c>
      <c r="B184" s="91">
        <v>0.14000000000000001</v>
      </c>
      <c r="C184" s="92">
        <v>1</v>
      </c>
      <c r="D184" s="94">
        <v>957142857.14285707</v>
      </c>
      <c r="E184" s="91">
        <f>VLOOKUP(1722,收盤價!A:C,3,0)</f>
        <v>42.55</v>
      </c>
      <c r="F184" s="93">
        <v>40726428571.428566</v>
      </c>
      <c r="G184" s="93">
        <v>19632585000</v>
      </c>
      <c r="H184" s="117">
        <v>2.0699999999999998</v>
      </c>
      <c r="I184" s="117">
        <v>75.98</v>
      </c>
    </row>
    <row r="185" spans="1:9">
      <c r="A185" s="116">
        <v>2328</v>
      </c>
      <c r="B185" s="91">
        <v>0.08</v>
      </c>
      <c r="C185" s="92">
        <v>1</v>
      </c>
      <c r="D185" s="94">
        <v>500000000</v>
      </c>
      <c r="E185" s="91">
        <f>VLOOKUP(2328,收盤價!A:C,3,0)</f>
        <v>13.3</v>
      </c>
      <c r="F185" s="93">
        <v>6650000000</v>
      </c>
      <c r="G185" s="93">
        <v>17822720000</v>
      </c>
      <c r="H185" s="117">
        <v>0.37</v>
      </c>
      <c r="I185" s="117">
        <v>41.56</v>
      </c>
    </row>
    <row r="186" spans="1:9">
      <c r="A186" s="116">
        <v>1724</v>
      </c>
      <c r="B186" s="91">
        <v>0.2</v>
      </c>
      <c r="C186" s="92">
        <v>1</v>
      </c>
      <c r="D186" s="94">
        <v>125000000</v>
      </c>
      <c r="E186" s="91">
        <f>VLOOKUP(1724,收盤價!A:C,3,0)</f>
        <v>14.95</v>
      </c>
      <c r="F186" s="93">
        <v>1868750000</v>
      </c>
      <c r="G186" s="93">
        <v>1659502000</v>
      </c>
      <c r="H186" s="117">
        <v>1.1299999999999999</v>
      </c>
      <c r="I186" s="117">
        <v>18.690000000000001</v>
      </c>
    </row>
    <row r="187" spans="1:9">
      <c r="A187" s="116">
        <v>1725</v>
      </c>
      <c r="B187" s="91">
        <v>0.17</v>
      </c>
      <c r="C187" s="92">
        <v>0.9375</v>
      </c>
      <c r="D187" s="94">
        <v>176470588.2352941</v>
      </c>
      <c r="E187" s="91">
        <f>VLOOKUP(1725,收盤價!A:C,3,0)</f>
        <v>14.9</v>
      </c>
      <c r="F187" s="93">
        <v>2629411764.7058821</v>
      </c>
      <c r="G187" s="93">
        <v>9609745000</v>
      </c>
      <c r="H187" s="117">
        <v>0.27</v>
      </c>
      <c r="I187" s="117">
        <v>23.37</v>
      </c>
    </row>
    <row r="188" spans="1:9">
      <c r="A188" s="116">
        <v>1726</v>
      </c>
      <c r="B188" s="91">
        <v>1.45</v>
      </c>
      <c r="C188" s="92">
        <v>0.97345132743362828</v>
      </c>
      <c r="D188" s="94">
        <v>162068965.51724139</v>
      </c>
      <c r="E188" s="91">
        <f>VLOOKUP(1726,收盤價!A:C,3,0)</f>
        <v>69</v>
      </c>
      <c r="F188" s="93">
        <v>11182758620.689655</v>
      </c>
      <c r="G188" s="93">
        <v>8315259000</v>
      </c>
      <c r="H188" s="117">
        <v>1.34</v>
      </c>
      <c r="I188" s="117">
        <v>12.22</v>
      </c>
    </row>
    <row r="189" spans="1:9">
      <c r="A189" s="116">
        <v>1727</v>
      </c>
      <c r="B189" s="91">
        <v>0.23</v>
      </c>
      <c r="C189" s="92">
        <v>1</v>
      </c>
      <c r="D189" s="94">
        <v>104347826.08695652</v>
      </c>
      <c r="E189" s="91">
        <f>VLOOKUP(1727,收盤價!A:C,3,0)</f>
        <v>15.2</v>
      </c>
      <c r="F189" s="93">
        <v>1586086956.521739</v>
      </c>
      <c r="G189" s="93">
        <v>2260892000</v>
      </c>
      <c r="H189" s="117">
        <v>0.7</v>
      </c>
      <c r="I189" s="117">
        <v>16.52</v>
      </c>
    </row>
    <row r="190" spans="1:9">
      <c r="A190" s="116">
        <v>1729</v>
      </c>
      <c r="B190" s="91">
        <v>-0.11</v>
      </c>
      <c r="C190" s="92">
        <v>1</v>
      </c>
      <c r="D190" s="94">
        <v>181818181.81818181</v>
      </c>
      <c r="E190" s="91">
        <f>VLOOKUP(1729,收盤價!A:C,3,0)</f>
        <v>76.900000000000006</v>
      </c>
      <c r="F190" s="93">
        <v>13981818181.818182</v>
      </c>
      <c r="G190" s="93">
        <v>1313233000</v>
      </c>
      <c r="H190" s="117">
        <v>10.65</v>
      </c>
      <c r="I190" s="117">
        <v>0</v>
      </c>
    </row>
    <row r="191" spans="1:9">
      <c r="A191" s="116">
        <v>1730</v>
      </c>
      <c r="B191" s="91">
        <v>0.54</v>
      </c>
      <c r="C191" s="92">
        <v>0.81034482758620685</v>
      </c>
      <c r="D191" s="94">
        <v>53703703.703703701</v>
      </c>
      <c r="E191" s="91">
        <f>VLOOKUP(1730,收盤價!A:C,3,0)</f>
        <v>31.2</v>
      </c>
      <c r="F191" s="93">
        <v>1675555555.5555553</v>
      </c>
      <c r="G191" s="93">
        <v>1876907000</v>
      </c>
      <c r="H191" s="117">
        <v>0.89</v>
      </c>
      <c r="I191" s="117">
        <v>17.829999999999998</v>
      </c>
    </row>
    <row r="192" spans="1:9">
      <c r="A192" s="116">
        <v>1731</v>
      </c>
      <c r="B192" s="91">
        <v>0.09</v>
      </c>
      <c r="C192" s="92">
        <v>1</v>
      </c>
      <c r="D192" s="94">
        <v>133333333.33333334</v>
      </c>
      <c r="E192" s="91">
        <f>VLOOKUP(1731,收盤價!A:C,3,0)</f>
        <v>13.85</v>
      </c>
      <c r="F192" s="93">
        <v>1846666666.6666667</v>
      </c>
      <c r="G192" s="93">
        <v>1341811000</v>
      </c>
      <c r="H192" s="117">
        <v>1.38</v>
      </c>
      <c r="I192" s="117">
        <v>38.47</v>
      </c>
    </row>
    <row r="193" spans="1:9">
      <c r="A193" s="116">
        <v>1732</v>
      </c>
      <c r="B193" s="91">
        <v>-0.11</v>
      </c>
      <c r="C193" s="92">
        <v>1</v>
      </c>
      <c r="D193" s="94">
        <v>36363636.363636367</v>
      </c>
      <c r="E193" s="91">
        <f>VLOOKUP(1732,收盤價!A:C,3,0)</f>
        <v>13.1</v>
      </c>
      <c r="F193" s="93">
        <v>476363636.36363637</v>
      </c>
      <c r="G193" s="93">
        <v>602441000</v>
      </c>
      <c r="H193" s="117">
        <v>0.79</v>
      </c>
      <c r="I193" s="117">
        <v>0</v>
      </c>
    </row>
    <row r="194" spans="1:9">
      <c r="A194" s="116">
        <v>1733</v>
      </c>
      <c r="B194" s="91">
        <v>0.41</v>
      </c>
      <c r="C194" s="92">
        <v>1</v>
      </c>
      <c r="D194" s="94">
        <v>100000000</v>
      </c>
      <c r="E194" s="91">
        <f>VLOOKUP(1733,收盤價!A:C,3,0)</f>
        <v>42.8</v>
      </c>
      <c r="F194" s="93">
        <v>4279999999.9999995</v>
      </c>
      <c r="G194" s="93">
        <v>1843761000</v>
      </c>
      <c r="H194" s="117">
        <v>2.3199999999999998</v>
      </c>
      <c r="I194" s="117">
        <v>26.1</v>
      </c>
    </row>
    <row r="195" spans="1:9">
      <c r="A195" s="116">
        <v>1734</v>
      </c>
      <c r="B195" s="91">
        <v>-0.06</v>
      </c>
      <c r="C195" s="92">
        <v>1</v>
      </c>
      <c r="D195" s="94">
        <v>166666666.66666669</v>
      </c>
      <c r="E195" s="91">
        <f>VLOOKUP(1734,收盤價!A:C,3,0)</f>
        <v>28.65</v>
      </c>
      <c r="F195" s="93">
        <v>4775000000</v>
      </c>
      <c r="G195" s="93">
        <v>2265970000</v>
      </c>
      <c r="H195" s="117">
        <v>2.11</v>
      </c>
      <c r="I195" s="117">
        <v>0</v>
      </c>
    </row>
    <row r="196" spans="1:9">
      <c r="A196" s="116">
        <v>1735</v>
      </c>
      <c r="B196" s="91">
        <v>0.36</v>
      </c>
      <c r="C196" s="92">
        <v>1</v>
      </c>
      <c r="D196" s="94">
        <v>100000000</v>
      </c>
      <c r="E196" s="91">
        <f>VLOOKUP(1735,收盤價!A:C,3,0)</f>
        <v>11.95</v>
      </c>
      <c r="F196" s="93">
        <v>1195000000</v>
      </c>
      <c r="G196" s="93">
        <v>3842260000</v>
      </c>
      <c r="H196" s="117">
        <v>0.31</v>
      </c>
      <c r="I196" s="117">
        <v>8.3000000000000007</v>
      </c>
    </row>
    <row r="197" spans="1:9">
      <c r="A197" s="116">
        <v>2345</v>
      </c>
      <c r="B197" s="91">
        <v>0.42</v>
      </c>
      <c r="C197" s="92">
        <v>1</v>
      </c>
      <c r="D197" s="94">
        <v>535714285.71428573</v>
      </c>
      <c r="E197" s="91">
        <f>VLOOKUP(2345,收盤價!A:C,3,0)</f>
        <v>18.55</v>
      </c>
      <c r="F197" s="93">
        <v>9937500000</v>
      </c>
      <c r="G197" s="93">
        <v>23564945000</v>
      </c>
      <c r="H197" s="117">
        <v>0.42</v>
      </c>
      <c r="I197" s="117">
        <v>11.04</v>
      </c>
    </row>
    <row r="198" spans="1:9">
      <c r="A198" s="116">
        <v>6213</v>
      </c>
      <c r="B198" s="91">
        <v>0.23</v>
      </c>
      <c r="C198" s="92">
        <v>1</v>
      </c>
      <c r="D198" s="94">
        <v>308695652.173913</v>
      </c>
      <c r="E198" s="91">
        <f>VLOOKUP(6213,收盤價!A:C,3,0)</f>
        <v>23.4</v>
      </c>
      <c r="F198" s="93">
        <v>7223478260.8695641</v>
      </c>
      <c r="G198" s="93">
        <v>19028393000</v>
      </c>
      <c r="H198" s="117">
        <v>0.38</v>
      </c>
      <c r="I198" s="117">
        <v>25.43</v>
      </c>
    </row>
    <row r="199" spans="1:9">
      <c r="A199" s="116">
        <v>1742</v>
      </c>
      <c r="B199" s="91">
        <v>-0.36</v>
      </c>
      <c r="C199" s="92">
        <v>1</v>
      </c>
      <c r="D199" s="94">
        <v>63888888.888888888</v>
      </c>
      <c r="E199" s="91">
        <f>VLOOKUP(1742,收盤價!A:C,3,0)</f>
        <v>13.45</v>
      </c>
      <c r="F199" s="93">
        <v>859305555.55555546</v>
      </c>
      <c r="G199" s="93">
        <v>769232000</v>
      </c>
      <c r="H199" s="117">
        <v>1.1200000000000001</v>
      </c>
      <c r="I199" s="117">
        <v>0</v>
      </c>
    </row>
    <row r="200" spans="1:9">
      <c r="A200" s="116">
        <v>1752</v>
      </c>
      <c r="B200" s="91">
        <v>0.49</v>
      </c>
      <c r="C200" s="92">
        <v>1</v>
      </c>
      <c r="D200" s="94">
        <v>89795918.367346942</v>
      </c>
      <c r="E200" s="91">
        <f>VLOOKUP(1752,收盤價!A:C,3,0)</f>
        <v>44.75</v>
      </c>
      <c r="F200" s="93">
        <v>4018367346.9387755</v>
      </c>
      <c r="G200" s="93">
        <v>1480357000</v>
      </c>
      <c r="H200" s="117">
        <v>2.71</v>
      </c>
      <c r="I200" s="117">
        <v>22.83</v>
      </c>
    </row>
    <row r="201" spans="1:9">
      <c r="A201" s="116">
        <v>1762</v>
      </c>
      <c r="B201" s="91">
        <v>0.17</v>
      </c>
      <c r="C201" s="92">
        <v>0</v>
      </c>
      <c r="D201" s="94">
        <v>76470588.235294119</v>
      </c>
      <c r="E201" s="91">
        <f>VLOOKUP(1762,收盤價!A:C,3,0)</f>
        <v>33.200000000000003</v>
      </c>
      <c r="F201" s="93">
        <v>2538823529.4117651</v>
      </c>
      <c r="G201" s="93">
        <v>1076398000</v>
      </c>
      <c r="H201" s="117">
        <v>2.36</v>
      </c>
      <c r="I201" s="117">
        <v>0</v>
      </c>
    </row>
    <row r="202" spans="1:9">
      <c r="A202" s="116">
        <v>1773</v>
      </c>
      <c r="B202" s="91">
        <v>1.02</v>
      </c>
      <c r="C202" s="92">
        <v>0.91695501730103801</v>
      </c>
      <c r="D202" s="94">
        <v>150000000</v>
      </c>
      <c r="E202" s="91">
        <f>VLOOKUP(1773,收盤價!A:C,3,0)</f>
        <v>41.8</v>
      </c>
      <c r="F202" s="93">
        <v>6270000000</v>
      </c>
      <c r="G202" s="93">
        <v>6811337000</v>
      </c>
      <c r="H202" s="117">
        <v>0.92</v>
      </c>
      <c r="I202" s="117">
        <v>11.17</v>
      </c>
    </row>
    <row r="203" spans="1:9">
      <c r="A203" s="116">
        <v>1777</v>
      </c>
      <c r="B203" s="91">
        <v>0.77</v>
      </c>
      <c r="C203" s="92">
        <v>1</v>
      </c>
      <c r="D203" s="94">
        <v>29870129.870129868</v>
      </c>
      <c r="E203" s="91">
        <f>VLOOKUP(1777,收盤價!A:C,3,0)</f>
        <v>76.599999999999994</v>
      </c>
      <c r="F203" s="93">
        <v>2288051948.0519476</v>
      </c>
      <c r="G203" s="93">
        <v>645343000</v>
      </c>
      <c r="H203" s="117">
        <v>3.55</v>
      </c>
      <c r="I203" s="117">
        <v>24.87</v>
      </c>
    </row>
    <row r="204" spans="1:9">
      <c r="A204" s="116">
        <v>1781</v>
      </c>
      <c r="B204" s="91">
        <v>-0.39</v>
      </c>
      <c r="C204" s="92">
        <v>0.94117647058823528</v>
      </c>
      <c r="D204" s="94">
        <v>48717948.71794872</v>
      </c>
      <c r="E204" s="91">
        <f>VLOOKUP(1781,收盤價!A:C,3,0)</f>
        <v>26.15</v>
      </c>
      <c r="F204" s="93">
        <v>1273974358.974359</v>
      </c>
      <c r="G204" s="93">
        <v>697426000</v>
      </c>
      <c r="H204" s="117">
        <v>1.83</v>
      </c>
      <c r="I204" s="117">
        <v>0</v>
      </c>
    </row>
    <row r="205" spans="1:9">
      <c r="A205" s="116">
        <v>1783</v>
      </c>
      <c r="B205" s="91">
        <v>-0.22</v>
      </c>
      <c r="C205" s="92">
        <v>1</v>
      </c>
      <c r="D205" s="94">
        <v>72727272.727272734</v>
      </c>
      <c r="E205" s="91">
        <f>VLOOKUP(1783,收盤價!A:C,3,0)</f>
        <v>25.75</v>
      </c>
      <c r="F205" s="93">
        <v>1872727272.727273</v>
      </c>
      <c r="G205" s="93">
        <v>248254000</v>
      </c>
      <c r="H205" s="117">
        <v>7.54</v>
      </c>
      <c r="I205" s="117">
        <v>0</v>
      </c>
    </row>
    <row r="206" spans="1:9">
      <c r="A206" s="116">
        <v>1784</v>
      </c>
      <c r="B206" s="91">
        <v>0.12</v>
      </c>
      <c r="C206" s="92">
        <v>0.6</v>
      </c>
      <c r="D206" s="94">
        <v>50000000</v>
      </c>
      <c r="E206" s="91">
        <f>VLOOKUP(1784,收盤價!A:C,3,0)</f>
        <v>31.85</v>
      </c>
      <c r="F206" s="93">
        <v>1592500000</v>
      </c>
      <c r="G206" s="93">
        <v>625774000</v>
      </c>
      <c r="H206" s="117">
        <v>2.54</v>
      </c>
      <c r="I206" s="117">
        <v>110.59</v>
      </c>
    </row>
    <row r="207" spans="1:9">
      <c r="A207" s="116">
        <v>3047</v>
      </c>
      <c r="B207" s="91">
        <v>0.11</v>
      </c>
      <c r="C207" s="92">
        <v>1</v>
      </c>
      <c r="D207" s="94">
        <v>200000000</v>
      </c>
      <c r="E207" s="91">
        <f>VLOOKUP(3047,收盤價!A:C,3,0)</f>
        <v>10.8</v>
      </c>
      <c r="F207" s="93">
        <v>2160000000</v>
      </c>
      <c r="G207" s="93">
        <v>5763029000</v>
      </c>
      <c r="H207" s="117">
        <v>0.37</v>
      </c>
      <c r="I207" s="117">
        <v>24.55</v>
      </c>
    </row>
    <row r="208" spans="1:9">
      <c r="A208" s="116">
        <v>1786</v>
      </c>
      <c r="B208" s="91">
        <v>0.1</v>
      </c>
      <c r="C208" s="92">
        <v>1</v>
      </c>
      <c r="D208" s="94">
        <v>50000000</v>
      </c>
      <c r="E208" s="91">
        <f>VLOOKUP(1786,收盤價!A:C,3,0)</f>
        <v>62.3</v>
      </c>
      <c r="F208" s="93">
        <v>3115000000</v>
      </c>
      <c r="G208" s="93">
        <v>233171000</v>
      </c>
      <c r="H208" s="117">
        <v>13.36</v>
      </c>
      <c r="I208" s="117">
        <v>155.75</v>
      </c>
    </row>
    <row r="209" spans="1:9">
      <c r="A209" s="116">
        <v>1787</v>
      </c>
      <c r="B209" s="91">
        <v>0.44</v>
      </c>
      <c r="C209" s="92">
        <v>1</v>
      </c>
      <c r="D209" s="94">
        <v>68181818.181818187</v>
      </c>
      <c r="E209" s="91">
        <f>VLOOKUP(1787,收盤價!A:C,3,0)</f>
        <v>21.45</v>
      </c>
      <c r="F209" s="93">
        <v>1462500000</v>
      </c>
      <c r="G209" s="93">
        <v>1418835000</v>
      </c>
      <c r="H209" s="117">
        <v>1.03</v>
      </c>
      <c r="I209" s="117">
        <v>12.19</v>
      </c>
    </row>
    <row r="210" spans="1:9">
      <c r="A210" s="116">
        <v>1788</v>
      </c>
      <c r="B210" s="91">
        <v>1.44</v>
      </c>
      <c r="C210" s="92">
        <v>0.75221238938053092</v>
      </c>
      <c r="D210" s="94">
        <v>34722222.222222224</v>
      </c>
      <c r="E210" s="91">
        <f>VLOOKUP(1788,收盤價!A:C,3,0)</f>
        <v>90</v>
      </c>
      <c r="F210" s="93">
        <v>3125000000</v>
      </c>
      <c r="G210" s="93">
        <v>2682561000</v>
      </c>
      <c r="H210" s="117">
        <v>1.1599999999999999</v>
      </c>
      <c r="I210" s="117">
        <v>20.77</v>
      </c>
    </row>
    <row r="211" spans="1:9">
      <c r="A211" s="116">
        <v>8925</v>
      </c>
      <c r="B211" s="91">
        <v>-6.36</v>
      </c>
      <c r="C211" s="92">
        <v>2.1973287376130978E-2</v>
      </c>
      <c r="D211" s="94">
        <v>365408805.03144652</v>
      </c>
      <c r="E211" s="91">
        <f>VLOOKUP(8925,收盤價!A:C,3,0)</f>
        <v>1.23</v>
      </c>
      <c r="F211" s="93">
        <v>449452830.18867922</v>
      </c>
      <c r="G211" s="93">
        <v>2014386000</v>
      </c>
      <c r="H211" s="117">
        <v>0.22</v>
      </c>
      <c r="I211" s="117">
        <v>0</v>
      </c>
    </row>
    <row r="212" spans="1:9">
      <c r="A212" s="116">
        <v>2017</v>
      </c>
      <c r="B212" s="91">
        <v>0.05</v>
      </c>
      <c r="C212" s="92">
        <v>0.89795918367346939</v>
      </c>
      <c r="D212" s="94">
        <v>360000000</v>
      </c>
      <c r="E212" s="91">
        <f>VLOOKUP(2017,收盤價!A:C,3,0)</f>
        <v>5.64</v>
      </c>
      <c r="F212" s="93">
        <v>2030400000</v>
      </c>
      <c r="G212" s="93">
        <v>5365353000</v>
      </c>
      <c r="H212" s="117">
        <v>0.38</v>
      </c>
      <c r="I212" s="117">
        <v>31.4</v>
      </c>
    </row>
    <row r="213" spans="1:9">
      <c r="A213" s="116">
        <v>1799</v>
      </c>
      <c r="B213" s="91">
        <v>-0.5</v>
      </c>
      <c r="C213" s="92">
        <v>0.971830985915493</v>
      </c>
      <c r="D213" s="94">
        <v>64000000</v>
      </c>
      <c r="E213" s="91">
        <f>VLOOKUP(1799,收盤價!A:C,3,0)</f>
        <v>30.45</v>
      </c>
      <c r="F213" s="93">
        <v>1948800000</v>
      </c>
      <c r="G213" s="93">
        <v>534003000</v>
      </c>
      <c r="H213" s="117">
        <v>3.65</v>
      </c>
      <c r="I213" s="117">
        <v>0</v>
      </c>
    </row>
    <row r="214" spans="1:9">
      <c r="A214" s="116">
        <v>1802</v>
      </c>
      <c r="B214" s="91">
        <v>-0.3</v>
      </c>
      <c r="C214" s="92">
        <v>0.88363636363636366</v>
      </c>
      <c r="D214" s="94">
        <v>2403333333.3333335</v>
      </c>
      <c r="E214" s="91">
        <f>VLOOKUP(1802,收盤價!A:C,3,0)</f>
        <v>13.25</v>
      </c>
      <c r="F214" s="93">
        <v>31844166666.666668</v>
      </c>
      <c r="G214" s="93">
        <v>40652087000</v>
      </c>
      <c r="H214" s="117">
        <v>0.78</v>
      </c>
      <c r="I214" s="117">
        <v>0</v>
      </c>
    </row>
    <row r="215" spans="1:9">
      <c r="A215" s="116">
        <v>1805</v>
      </c>
      <c r="B215" s="91">
        <v>-0.27</v>
      </c>
      <c r="C215" s="92">
        <v>1</v>
      </c>
      <c r="D215" s="94">
        <v>81481481.481481478</v>
      </c>
      <c r="E215" s="91">
        <f>VLOOKUP(1805,收盤價!A:C,3,0)</f>
        <v>7.75</v>
      </c>
      <c r="F215" s="93">
        <v>631481481.48148143</v>
      </c>
      <c r="G215" s="93">
        <v>166023000</v>
      </c>
      <c r="H215" s="117">
        <v>3.8</v>
      </c>
      <c r="I215" s="117">
        <v>0</v>
      </c>
    </row>
    <row r="216" spans="1:9">
      <c r="A216" s="116">
        <v>2374</v>
      </c>
      <c r="B216" s="91">
        <v>0.4</v>
      </c>
      <c r="C216" s="92">
        <v>0</v>
      </c>
      <c r="D216" s="94">
        <v>475000000</v>
      </c>
      <c r="E216" s="91">
        <f>VLOOKUP(2374,收盤價!A:C,3,0)</f>
        <v>17.7</v>
      </c>
      <c r="F216" s="93">
        <v>8407500000</v>
      </c>
      <c r="G216" s="93">
        <v>21270805000</v>
      </c>
      <c r="H216" s="117">
        <v>0.4</v>
      </c>
      <c r="I216" s="117">
        <v>0</v>
      </c>
    </row>
    <row r="217" spans="1:9">
      <c r="A217" s="116">
        <v>3017</v>
      </c>
      <c r="B217" s="91">
        <v>0.43</v>
      </c>
      <c r="C217" s="92">
        <v>0.71661237785016285</v>
      </c>
      <c r="D217" s="94">
        <v>353488372.09302324</v>
      </c>
      <c r="E217" s="91">
        <f>VLOOKUP(3017,收盤價!A:C,3,0)</f>
        <v>26.25</v>
      </c>
      <c r="F217" s="93">
        <v>9279069767.4418602</v>
      </c>
      <c r="G217" s="93">
        <v>24661730000</v>
      </c>
      <c r="H217" s="117">
        <v>0.38</v>
      </c>
      <c r="I217" s="117">
        <v>21.3</v>
      </c>
    </row>
    <row r="218" spans="1:9">
      <c r="A218" s="116">
        <v>1455</v>
      </c>
      <c r="B218" s="91">
        <v>0.44</v>
      </c>
      <c r="C218" s="92">
        <v>0.27586206896551724</v>
      </c>
      <c r="D218" s="94">
        <v>613636363.63636363</v>
      </c>
      <c r="E218" s="91">
        <f>VLOOKUP(1455,收盤價!A:C,3,0)</f>
        <v>10.050000000000001</v>
      </c>
      <c r="F218" s="93">
        <v>6167045454.545455</v>
      </c>
      <c r="G218" s="93">
        <v>16461948000</v>
      </c>
      <c r="H218" s="117">
        <v>0.37</v>
      </c>
      <c r="I218" s="117">
        <v>20.7</v>
      </c>
    </row>
    <row r="219" spans="1:9">
      <c r="A219" s="116">
        <v>2029</v>
      </c>
      <c r="B219" s="91">
        <v>0.35</v>
      </c>
      <c r="C219" s="92">
        <v>1</v>
      </c>
      <c r="D219" s="94">
        <v>322857142.85714287</v>
      </c>
      <c r="E219" s="91">
        <f>VLOOKUP(2029,收盤價!A:C,3,0)</f>
        <v>17.95</v>
      </c>
      <c r="F219" s="93">
        <v>5795285714.2857141</v>
      </c>
      <c r="G219" s="93">
        <v>15041774000</v>
      </c>
      <c r="H219" s="117">
        <v>0.39</v>
      </c>
      <c r="I219" s="117">
        <v>12.82</v>
      </c>
    </row>
    <row r="220" spans="1:9">
      <c r="A220" s="116">
        <v>1813</v>
      </c>
      <c r="B220" s="91">
        <v>0.41</v>
      </c>
      <c r="C220" s="92">
        <v>0.25641025641025639</v>
      </c>
      <c r="D220" s="94">
        <v>46341463.414634146</v>
      </c>
      <c r="E220" s="91">
        <f>VLOOKUP(1813,收盤價!A:C,3,0)</f>
        <v>26.1</v>
      </c>
      <c r="F220" s="93">
        <v>1209512195.1219513</v>
      </c>
      <c r="G220" s="93">
        <v>385699000</v>
      </c>
      <c r="H220" s="117">
        <v>3.14</v>
      </c>
      <c r="I220" s="117">
        <v>62.07</v>
      </c>
    </row>
    <row r="221" spans="1:9">
      <c r="A221" s="116">
        <v>2376</v>
      </c>
      <c r="B221" s="91">
        <v>0.56999999999999995</v>
      </c>
      <c r="C221" s="92">
        <v>0.32564102564102565</v>
      </c>
      <c r="D221" s="94">
        <v>624561403.50877202</v>
      </c>
      <c r="E221" s="91">
        <f>VLOOKUP(2376,收盤價!A:C,3,0)</f>
        <v>33.25</v>
      </c>
      <c r="F221" s="93">
        <v>20766666666.666668</v>
      </c>
      <c r="G221" s="93">
        <v>51768177000</v>
      </c>
      <c r="H221" s="117">
        <v>0.4</v>
      </c>
      <c r="I221" s="117">
        <v>44.78</v>
      </c>
    </row>
    <row r="222" spans="1:9">
      <c r="A222" s="116">
        <v>1817</v>
      </c>
      <c r="B222" s="91">
        <v>0.65</v>
      </c>
      <c r="C222" s="92">
        <v>1</v>
      </c>
      <c r="D222" s="94">
        <v>72307692.307692304</v>
      </c>
      <c r="E222" s="91">
        <f>VLOOKUP(1817,收盤價!A:C,3,0)</f>
        <v>34.299999999999997</v>
      </c>
      <c r="F222" s="93">
        <v>2480153846.1538458</v>
      </c>
      <c r="G222" s="93">
        <v>2106039000</v>
      </c>
      <c r="H222" s="117">
        <v>1.18</v>
      </c>
      <c r="I222" s="117">
        <v>13.19</v>
      </c>
    </row>
    <row r="223" spans="1:9">
      <c r="A223" s="116">
        <v>2614</v>
      </c>
      <c r="B223" s="91">
        <v>-0.12</v>
      </c>
      <c r="C223" s="92">
        <v>1</v>
      </c>
      <c r="D223" s="94">
        <v>675000000</v>
      </c>
      <c r="E223" s="91">
        <f>VLOOKUP(2614,收盤價!A:C,3,0)</f>
        <v>7.6</v>
      </c>
      <c r="F223" s="93">
        <v>5130000000</v>
      </c>
      <c r="G223" s="93">
        <v>11890609000</v>
      </c>
      <c r="H223" s="117">
        <v>0.43</v>
      </c>
      <c r="I223" s="117">
        <v>0</v>
      </c>
    </row>
    <row r="224" spans="1:9">
      <c r="A224" s="116">
        <v>5480</v>
      </c>
      <c r="B224" s="91">
        <v>0.28000000000000003</v>
      </c>
      <c r="C224" s="92">
        <v>0.60396039603960394</v>
      </c>
      <c r="D224" s="94">
        <v>199999999.99999997</v>
      </c>
      <c r="E224" s="91">
        <f>VLOOKUP(5480,收盤價!A:C,3,0)</f>
        <v>12.6</v>
      </c>
      <c r="F224" s="93">
        <v>2519999999.9999995</v>
      </c>
      <c r="G224" s="93">
        <v>6099243000</v>
      </c>
      <c r="H224" s="117">
        <v>0.41</v>
      </c>
      <c r="I224" s="117">
        <v>18.63</v>
      </c>
    </row>
    <row r="225" spans="1:9">
      <c r="A225" s="116">
        <v>1904</v>
      </c>
      <c r="B225" s="91">
        <v>0.16</v>
      </c>
      <c r="C225" s="92">
        <v>1</v>
      </c>
      <c r="D225" s="94">
        <v>1100000000</v>
      </c>
      <c r="E225" s="91">
        <f>VLOOKUP(1904,收盤價!A:C,3,0)</f>
        <v>11.5</v>
      </c>
      <c r="F225" s="93">
        <v>12650000000</v>
      </c>
      <c r="G225" s="93">
        <v>44877737000</v>
      </c>
      <c r="H225" s="117">
        <v>0.28000000000000003</v>
      </c>
      <c r="I225" s="117">
        <v>17.97</v>
      </c>
    </row>
    <row r="226" spans="1:9">
      <c r="A226" s="116">
        <v>1905</v>
      </c>
      <c r="B226" s="91">
        <v>0.13</v>
      </c>
      <c r="C226" s="92">
        <v>1</v>
      </c>
      <c r="D226" s="94">
        <v>1230769230.7692308</v>
      </c>
      <c r="E226" s="91">
        <f>VLOOKUP(1905,收盤價!A:C,3,0)</f>
        <v>10.45</v>
      </c>
      <c r="F226" s="93">
        <v>12861538461.538462</v>
      </c>
      <c r="G226" s="93">
        <v>21055625000</v>
      </c>
      <c r="H226" s="117">
        <v>0.61</v>
      </c>
      <c r="I226" s="117">
        <v>20.100000000000001</v>
      </c>
    </row>
    <row r="227" spans="1:9">
      <c r="A227" s="116">
        <v>1906</v>
      </c>
      <c r="B227" s="91">
        <v>0.72</v>
      </c>
      <c r="C227" s="92">
        <v>0</v>
      </c>
      <c r="D227" s="94">
        <v>148611111.1111111</v>
      </c>
      <c r="E227" s="91">
        <f>VLOOKUP(1906,收盤價!A:C,3,0)</f>
        <v>8.25</v>
      </c>
      <c r="F227" s="93">
        <v>1226041666.6666665</v>
      </c>
      <c r="G227" s="93">
        <v>353603000</v>
      </c>
      <c r="H227" s="117">
        <v>3.47</v>
      </c>
      <c r="I227" s="117">
        <v>0</v>
      </c>
    </row>
    <row r="228" spans="1:9">
      <c r="A228" s="116">
        <v>1907</v>
      </c>
      <c r="B228" s="91">
        <v>0.17</v>
      </c>
      <c r="C228" s="92">
        <v>1</v>
      </c>
      <c r="D228" s="94">
        <v>1652941176.4705882</v>
      </c>
      <c r="E228" s="91">
        <f>VLOOKUP(1907,收盤價!A:C,3,0)</f>
        <v>11.1</v>
      </c>
      <c r="F228" s="93">
        <v>18347647058.823528</v>
      </c>
      <c r="G228" s="93">
        <v>63372121000</v>
      </c>
      <c r="H228" s="117">
        <v>0.28999999999999998</v>
      </c>
      <c r="I228" s="117">
        <v>16.32</v>
      </c>
    </row>
    <row r="229" spans="1:9">
      <c r="A229" s="116">
        <v>1909</v>
      </c>
      <c r="B229" s="91">
        <v>0.41</v>
      </c>
      <c r="C229" s="92">
        <v>1</v>
      </c>
      <c r="D229" s="94">
        <v>824390243.90243912</v>
      </c>
      <c r="E229" s="91">
        <f>VLOOKUP(1909,收盤價!A:C,3,0)</f>
        <v>11.65</v>
      </c>
      <c r="F229" s="93">
        <v>9604146341.4634151</v>
      </c>
      <c r="G229" s="93">
        <v>27399862000</v>
      </c>
      <c r="H229" s="117">
        <v>0.35</v>
      </c>
      <c r="I229" s="117">
        <v>7.1</v>
      </c>
    </row>
    <row r="230" spans="1:9">
      <c r="A230" s="116">
        <v>2002</v>
      </c>
      <c r="B230" s="91">
        <v>0.18</v>
      </c>
      <c r="C230" s="92">
        <v>0.9681194029850746</v>
      </c>
      <c r="D230" s="94">
        <v>15827777777.777779</v>
      </c>
      <c r="E230" s="91">
        <f>VLOOKUP(2002,收盤價!A:C,3,0)</f>
        <v>20.399999999999999</v>
      </c>
      <c r="F230" s="93">
        <v>322886666666.66669</v>
      </c>
      <c r="G230" s="93">
        <v>321471289000</v>
      </c>
      <c r="H230" s="117">
        <v>1</v>
      </c>
      <c r="I230" s="117">
        <v>29.27</v>
      </c>
    </row>
    <row r="231" spans="1:9">
      <c r="A231" s="116">
        <v>2006</v>
      </c>
      <c r="B231" s="91">
        <v>0.36</v>
      </c>
      <c r="C231" s="92">
        <v>0.82460732984293195</v>
      </c>
      <c r="D231" s="94">
        <v>1005555555.5555556</v>
      </c>
      <c r="E231" s="91">
        <f>VLOOKUP(2006,收盤價!A:C,3,0)</f>
        <v>18.45</v>
      </c>
      <c r="F231" s="93">
        <v>18552500000</v>
      </c>
      <c r="G231" s="93">
        <v>33542913000</v>
      </c>
      <c r="H231" s="117">
        <v>0.55000000000000004</v>
      </c>
      <c r="I231" s="117">
        <v>15.54</v>
      </c>
    </row>
    <row r="232" spans="1:9">
      <c r="A232" s="116">
        <v>1471</v>
      </c>
      <c r="B232" s="91">
        <v>-0.53</v>
      </c>
      <c r="C232" s="92">
        <v>1</v>
      </c>
      <c r="D232" s="94">
        <v>201886792.45283017</v>
      </c>
      <c r="E232" s="91">
        <f>VLOOKUP(1471,收盤價!A:C,3,0)</f>
        <v>4.8600000000000003</v>
      </c>
      <c r="F232" s="93">
        <v>981169811.32075465</v>
      </c>
      <c r="G232" s="93">
        <v>2357474000</v>
      </c>
      <c r="H232" s="117">
        <v>0.42</v>
      </c>
      <c r="I232" s="117">
        <v>0</v>
      </c>
    </row>
    <row r="233" spans="1:9">
      <c r="A233" s="116">
        <v>2419</v>
      </c>
      <c r="B233" s="91">
        <v>0.22</v>
      </c>
      <c r="C233" s="92">
        <v>1</v>
      </c>
      <c r="D233" s="94">
        <v>227272727.27272728</v>
      </c>
      <c r="E233" s="91">
        <f>VLOOKUP(2419,收盤價!A:C,3,0)</f>
        <v>13.65</v>
      </c>
      <c r="F233" s="93">
        <v>3102272727.2727275</v>
      </c>
      <c r="G233" s="93">
        <v>7696035000</v>
      </c>
      <c r="H233" s="117">
        <v>0.4</v>
      </c>
      <c r="I233" s="117">
        <v>15.51</v>
      </c>
    </row>
    <row r="234" spans="1:9">
      <c r="A234" s="116">
        <v>6702</v>
      </c>
      <c r="B234" s="91">
        <v>-0.35</v>
      </c>
      <c r="C234" s="92">
        <v>1</v>
      </c>
      <c r="D234" s="94">
        <v>622857142.85714293</v>
      </c>
      <c r="E234" s="91">
        <f>VLOOKUP(6702,收盤價!A:C,3,0)</f>
        <v>7.25</v>
      </c>
      <c r="F234" s="93">
        <v>4515714285.7142859</v>
      </c>
      <c r="G234" s="93">
        <v>11051165000</v>
      </c>
      <c r="H234" s="117">
        <v>0.41</v>
      </c>
      <c r="I234" s="117">
        <v>0</v>
      </c>
    </row>
    <row r="235" spans="1:9">
      <c r="A235" s="116">
        <v>1218</v>
      </c>
      <c r="B235" s="91">
        <v>-0.04</v>
      </c>
      <c r="C235" s="92">
        <v>1</v>
      </c>
      <c r="D235" s="94">
        <v>325000000</v>
      </c>
      <c r="E235" s="91">
        <f>VLOOKUP(1218,收盤價!A:C,3,0)</f>
        <v>10.3</v>
      </c>
      <c r="F235" s="93">
        <v>3347500000</v>
      </c>
      <c r="G235" s="95">
        <v>8375261000</v>
      </c>
      <c r="H235" s="117">
        <v>0.4</v>
      </c>
      <c r="I235" s="117">
        <v>0</v>
      </c>
    </row>
    <row r="236" spans="1:9">
      <c r="A236" s="116">
        <v>6274</v>
      </c>
      <c r="B236" s="91">
        <v>0.73</v>
      </c>
      <c r="C236" s="92">
        <v>0.93696275071633239</v>
      </c>
      <c r="D236" s="94">
        <v>241095890.41095892</v>
      </c>
      <c r="E236" s="91">
        <f>VLOOKUP(6274,收盤價!A:C,3,0)</f>
        <v>25.1</v>
      </c>
      <c r="F236" s="93">
        <v>6051506849.3150692</v>
      </c>
      <c r="G236" s="93">
        <v>13128798000</v>
      </c>
      <c r="H236" s="117">
        <v>0.46</v>
      </c>
      <c r="I236" s="117">
        <v>9.17</v>
      </c>
    </row>
    <row r="237" spans="1:9">
      <c r="A237" s="116">
        <v>2013</v>
      </c>
      <c r="B237" s="91">
        <v>0.27</v>
      </c>
      <c r="C237" s="92">
        <v>0.94047619047619047</v>
      </c>
      <c r="D237" s="94">
        <v>192592592.59259257</v>
      </c>
      <c r="E237" s="91">
        <f>VLOOKUP(2013,收盤價!A:C,3,0)</f>
        <v>20</v>
      </c>
      <c r="F237" s="93">
        <v>3851851851.8518515</v>
      </c>
      <c r="G237" s="93">
        <v>15658082000</v>
      </c>
      <c r="H237" s="117">
        <v>0.25</v>
      </c>
      <c r="I237" s="117">
        <v>19.690000000000001</v>
      </c>
    </row>
    <row r="238" spans="1:9">
      <c r="A238" s="116">
        <v>2014</v>
      </c>
      <c r="B238" s="91">
        <v>0.2</v>
      </c>
      <c r="C238" s="92">
        <v>1</v>
      </c>
      <c r="D238" s="94">
        <v>1435000000</v>
      </c>
      <c r="E238" s="91">
        <f>VLOOKUP(2014,收盤價!A:C,3,0)</f>
        <v>4.95</v>
      </c>
      <c r="F238" s="93">
        <v>7103250000</v>
      </c>
      <c r="G238" s="93">
        <v>32129407000</v>
      </c>
      <c r="H238" s="117">
        <v>0.22</v>
      </c>
      <c r="I238" s="117">
        <v>6.19</v>
      </c>
    </row>
    <row r="239" spans="1:9">
      <c r="A239" s="116">
        <v>1522</v>
      </c>
      <c r="B239" s="91">
        <v>0.36</v>
      </c>
      <c r="C239" s="92">
        <v>1</v>
      </c>
      <c r="D239" s="94">
        <v>313888888.8888889</v>
      </c>
      <c r="E239" s="91">
        <f>VLOOKUP(1522,收盤價!A:C,3,0)</f>
        <v>22.8</v>
      </c>
      <c r="F239" s="93">
        <v>7156666666.666667</v>
      </c>
      <c r="G239" s="93">
        <v>16557079000</v>
      </c>
      <c r="H239" s="117">
        <v>0.43</v>
      </c>
      <c r="I239" s="117">
        <v>15.83</v>
      </c>
    </row>
    <row r="240" spans="1:9">
      <c r="A240" s="116">
        <v>2208</v>
      </c>
      <c r="B240" s="91">
        <v>0.09</v>
      </c>
      <c r="C240" s="92">
        <v>0.55384615384615388</v>
      </c>
      <c r="D240" s="94">
        <v>733333333.33333337</v>
      </c>
      <c r="E240" s="91">
        <f>VLOOKUP(2208,收盤價!A:C,3,0)</f>
        <v>13.45</v>
      </c>
      <c r="F240" s="93">
        <v>9863333333.333334</v>
      </c>
      <c r="G240" s="93">
        <v>23586559000</v>
      </c>
      <c r="H240" s="117">
        <v>0.42</v>
      </c>
      <c r="I240" s="117">
        <v>67.459999999999994</v>
      </c>
    </row>
    <row r="241" spans="1:9">
      <c r="A241" s="116">
        <v>8213</v>
      </c>
      <c r="B241" s="91">
        <v>0.86</v>
      </c>
      <c r="C241" s="92">
        <v>0.81607142857142856</v>
      </c>
      <c r="D241" s="94">
        <v>270930232.55813956</v>
      </c>
      <c r="E241" s="91">
        <f>VLOOKUP(8213,收盤價!A:C,3,0)</f>
        <v>37</v>
      </c>
      <c r="F241" s="93">
        <v>10024418604.651163</v>
      </c>
      <c r="G241" s="93">
        <v>23098719000</v>
      </c>
      <c r="H241" s="117">
        <v>0.43</v>
      </c>
      <c r="I241" s="117">
        <v>13.18</v>
      </c>
    </row>
    <row r="242" spans="1:9">
      <c r="A242" s="116">
        <v>2367</v>
      </c>
      <c r="B242" s="91">
        <v>-0.08</v>
      </c>
      <c r="C242" s="92">
        <v>1</v>
      </c>
      <c r="D242" s="94">
        <v>562500000</v>
      </c>
      <c r="E242" s="91">
        <f>VLOOKUP(2367,收盤價!A:C,3,0)</f>
        <v>11.55</v>
      </c>
      <c r="F242" s="93">
        <v>6496875000</v>
      </c>
      <c r="G242" s="93">
        <v>14088619000</v>
      </c>
      <c r="H242" s="117">
        <v>0.46</v>
      </c>
      <c r="I242" s="117">
        <v>0</v>
      </c>
    </row>
    <row r="243" spans="1:9">
      <c r="A243" s="116">
        <v>2023</v>
      </c>
      <c r="B243" s="91">
        <v>-0.16</v>
      </c>
      <c r="C243" s="92">
        <v>1</v>
      </c>
      <c r="D243" s="94">
        <v>1681250000</v>
      </c>
      <c r="E243" s="91">
        <f>VLOOKUP(2023,收盤價!A:C,3,0)</f>
        <v>7.79</v>
      </c>
      <c r="F243" s="93">
        <v>13096937500</v>
      </c>
      <c r="G243" s="93">
        <v>55877059000</v>
      </c>
      <c r="H243" s="117">
        <v>0.23</v>
      </c>
      <c r="I243" s="117">
        <v>0</v>
      </c>
    </row>
    <row r="244" spans="1:9">
      <c r="A244" s="116">
        <v>2024</v>
      </c>
      <c r="B244" s="91">
        <v>0.08</v>
      </c>
      <c r="C244" s="92">
        <v>1</v>
      </c>
      <c r="D244" s="94">
        <v>100000000</v>
      </c>
      <c r="E244" s="91">
        <f>VLOOKUP(2024,收盤價!A:C,3,0)</f>
        <v>7.45</v>
      </c>
      <c r="F244" s="93">
        <v>745000000</v>
      </c>
      <c r="G244" s="93">
        <v>1495777000</v>
      </c>
      <c r="H244" s="117">
        <v>0.5</v>
      </c>
      <c r="I244" s="117">
        <v>23.28</v>
      </c>
    </row>
    <row r="245" spans="1:9">
      <c r="A245" s="116">
        <v>2406</v>
      </c>
      <c r="B245" s="91">
        <v>-0.62</v>
      </c>
      <c r="C245" s="92">
        <v>0</v>
      </c>
      <c r="D245" s="94">
        <v>308064516.12903225</v>
      </c>
      <c r="E245" s="91">
        <f>VLOOKUP(2406,收盤價!A:C,3,0)</f>
        <v>26.25</v>
      </c>
      <c r="F245" s="93">
        <v>8086693548.3870964</v>
      </c>
      <c r="G245" s="93">
        <v>15712474000</v>
      </c>
      <c r="H245" s="117">
        <v>0.51</v>
      </c>
      <c r="I245" s="117">
        <v>0</v>
      </c>
    </row>
    <row r="246" spans="1:9">
      <c r="A246" s="116">
        <v>2365</v>
      </c>
      <c r="B246" s="91">
        <v>0.11</v>
      </c>
      <c r="C246" s="92">
        <v>0.70909090909090911</v>
      </c>
      <c r="D246" s="94">
        <v>300000000</v>
      </c>
      <c r="E246" s="91">
        <f>VLOOKUP(2365,收盤價!A:C,3,0)</f>
        <v>9.84</v>
      </c>
      <c r="F246" s="93">
        <v>2952000000</v>
      </c>
      <c r="G246" s="93">
        <v>6623511000</v>
      </c>
      <c r="H246" s="117">
        <v>0.45</v>
      </c>
      <c r="I246" s="117">
        <v>31.54</v>
      </c>
    </row>
    <row r="247" spans="1:9">
      <c r="A247" s="116">
        <v>2906</v>
      </c>
      <c r="B247" s="91">
        <v>0.59</v>
      </c>
      <c r="C247" s="92">
        <v>0.14814814814814814</v>
      </c>
      <c r="D247" s="94">
        <v>210169491.52542374</v>
      </c>
      <c r="E247" s="91">
        <f>VLOOKUP(2906,收盤價!A:C,3,0)</f>
        <v>12.65</v>
      </c>
      <c r="F247" s="93">
        <v>2658644067.7966104</v>
      </c>
      <c r="G247" s="93">
        <v>5960190000</v>
      </c>
      <c r="H247" s="117">
        <v>0.45</v>
      </c>
      <c r="I247" s="117">
        <v>36.18</v>
      </c>
    </row>
    <row r="248" spans="1:9">
      <c r="A248" s="116">
        <v>3514</v>
      </c>
      <c r="B248" s="91">
        <v>-0.82</v>
      </c>
      <c r="C248" s="92">
        <v>0.78343949044585992</v>
      </c>
      <c r="D248" s="94">
        <v>404878048.78048784</v>
      </c>
      <c r="E248" s="91">
        <f>VLOOKUP(3514,收盤價!A:C,3,0)</f>
        <v>23.5</v>
      </c>
      <c r="F248" s="93">
        <v>9514634146.341465</v>
      </c>
      <c r="G248" s="93">
        <v>14997116000</v>
      </c>
      <c r="H248" s="117">
        <v>0.63</v>
      </c>
      <c r="I248" s="117">
        <v>0</v>
      </c>
    </row>
    <row r="249" spans="1:9">
      <c r="A249" s="116">
        <v>1219</v>
      </c>
      <c r="B249" s="91">
        <v>-0.01</v>
      </c>
      <c r="C249" s="92">
        <v>0.35</v>
      </c>
      <c r="D249" s="94">
        <v>300000000</v>
      </c>
      <c r="E249" s="91">
        <f>VLOOKUP(1219,收盤價!A:C,3,0)</f>
        <v>14.9</v>
      </c>
      <c r="F249" s="93">
        <v>4470000000</v>
      </c>
      <c r="G249" s="93">
        <v>9993518000</v>
      </c>
      <c r="H249" s="117">
        <v>0.45</v>
      </c>
      <c r="I249" s="117">
        <v>0</v>
      </c>
    </row>
    <row r="250" spans="1:9">
      <c r="A250" s="116">
        <v>2421</v>
      </c>
      <c r="B250" s="91">
        <v>0.28999999999999998</v>
      </c>
      <c r="C250" s="92">
        <v>0.59405940594059403</v>
      </c>
      <c r="D250" s="94">
        <v>251724137.93103451</v>
      </c>
      <c r="E250" s="91">
        <f>VLOOKUP(2421,收盤價!A:C,3,0)</f>
        <v>16.75</v>
      </c>
      <c r="F250" s="93">
        <v>4216379310.3448281</v>
      </c>
      <c r="G250" s="93">
        <v>9810257000</v>
      </c>
      <c r="H250" s="117">
        <v>0.43</v>
      </c>
      <c r="I250" s="117">
        <v>24.31</v>
      </c>
    </row>
    <row r="251" spans="1:9">
      <c r="A251" s="116">
        <v>2032</v>
      </c>
      <c r="B251" s="91">
        <v>0.2</v>
      </c>
      <c r="C251" s="92">
        <v>9.375E-2</v>
      </c>
      <c r="D251" s="94">
        <v>130000000</v>
      </c>
      <c r="E251" s="91">
        <f>VLOOKUP(2032,收盤價!A:C,3,0)</f>
        <v>9.1199999999999992</v>
      </c>
      <c r="F251" s="93">
        <v>1185600000</v>
      </c>
      <c r="G251" s="93">
        <v>3247060000</v>
      </c>
      <c r="H251" s="117">
        <v>0.37</v>
      </c>
      <c r="I251" s="117">
        <v>121.6</v>
      </c>
    </row>
    <row r="252" spans="1:9">
      <c r="A252" s="116">
        <v>2033</v>
      </c>
      <c r="B252" s="91">
        <v>-0.05</v>
      </c>
      <c r="C252" s="92">
        <v>1</v>
      </c>
      <c r="D252" s="94">
        <v>80000000</v>
      </c>
      <c r="E252" s="91">
        <f>VLOOKUP(2033,收盤價!A:C,3,0)</f>
        <v>8.09</v>
      </c>
      <c r="F252" s="93">
        <v>647200000</v>
      </c>
      <c r="G252" s="93">
        <v>763338000</v>
      </c>
      <c r="H252" s="117">
        <v>0.85</v>
      </c>
      <c r="I252" s="117">
        <v>0</v>
      </c>
    </row>
    <row r="253" spans="1:9">
      <c r="A253" s="116">
        <v>3051</v>
      </c>
      <c r="B253" s="91">
        <v>0.08</v>
      </c>
      <c r="C253" s="92">
        <v>1</v>
      </c>
      <c r="D253" s="94">
        <v>300000000</v>
      </c>
      <c r="E253" s="91">
        <f>VLOOKUP(3051,收盤價!A:C,3,0)</f>
        <v>6.96</v>
      </c>
      <c r="F253" s="93">
        <v>2088000000</v>
      </c>
      <c r="G253" s="93">
        <v>4190690000</v>
      </c>
      <c r="H253" s="117">
        <v>0.5</v>
      </c>
      <c r="I253" s="117">
        <v>21.75</v>
      </c>
    </row>
    <row r="254" spans="1:9">
      <c r="A254" s="116">
        <v>8215</v>
      </c>
      <c r="B254" s="91">
        <v>0.46</v>
      </c>
      <c r="C254" s="92">
        <v>0.82191780821917804</v>
      </c>
      <c r="D254" s="94">
        <v>321739130.43478262</v>
      </c>
      <c r="E254" s="91">
        <f>VLOOKUP(8215,收盤價!A:C,3,0)</f>
        <v>23</v>
      </c>
      <c r="F254" s="93">
        <v>7400000000</v>
      </c>
      <c r="G254" s="93">
        <v>15246896000</v>
      </c>
      <c r="H254" s="117">
        <v>0.49</v>
      </c>
      <c r="I254" s="117">
        <v>15.21</v>
      </c>
    </row>
    <row r="255" spans="1:9" ht="16.5" customHeight="1">
      <c r="A255" s="116">
        <v>2038</v>
      </c>
      <c r="B255" s="91">
        <v>0.06</v>
      </c>
      <c r="C255" s="92">
        <v>1</v>
      </c>
      <c r="D255" s="94">
        <v>166666666.66666669</v>
      </c>
      <c r="E255" s="91">
        <f>VLOOKUP(2038,收盤價!A:C,3,0)</f>
        <v>5.98</v>
      </c>
      <c r="F255" s="93">
        <v>996666666.66666687</v>
      </c>
      <c r="G255" s="93">
        <v>8834484000</v>
      </c>
      <c r="H255" s="117">
        <v>0.11</v>
      </c>
      <c r="I255" s="117">
        <v>24.92</v>
      </c>
    </row>
    <row r="256" spans="1:9">
      <c r="A256" s="116">
        <v>1225</v>
      </c>
      <c r="B256" s="91">
        <v>0.05</v>
      </c>
      <c r="C256" s="92">
        <v>1</v>
      </c>
      <c r="D256" s="94">
        <v>220000000</v>
      </c>
      <c r="E256" s="91">
        <f>VLOOKUP(1225,收盤價!A:C,3,0)</f>
        <v>23.1</v>
      </c>
      <c r="F256" s="93">
        <v>5082000000</v>
      </c>
      <c r="G256" s="93">
        <v>11504758000</v>
      </c>
      <c r="H256" s="117">
        <v>0.44</v>
      </c>
      <c r="I256" s="117">
        <v>115.5</v>
      </c>
    </row>
    <row r="257" spans="1:9">
      <c r="A257" s="116">
        <v>2059</v>
      </c>
      <c r="B257" s="91">
        <v>3.16</v>
      </c>
      <c r="C257" s="92">
        <v>1</v>
      </c>
      <c r="D257" s="94">
        <v>95253164.556962028</v>
      </c>
      <c r="E257" s="91">
        <f>VLOOKUP(2059,收盤價!A:C,3,0)</f>
        <v>416</v>
      </c>
      <c r="F257" s="93">
        <v>39625316455.696205</v>
      </c>
      <c r="G257" s="93">
        <v>4566087000</v>
      </c>
      <c r="H257" s="117">
        <v>8.68</v>
      </c>
      <c r="I257" s="117">
        <v>32.909999999999997</v>
      </c>
    </row>
    <row r="258" spans="1:9">
      <c r="A258" s="116">
        <v>2061</v>
      </c>
      <c r="B258" s="91">
        <v>-0.43</v>
      </c>
      <c r="C258" s="92">
        <v>0.56000000000000005</v>
      </c>
      <c r="D258" s="94">
        <v>62790697.674418606</v>
      </c>
      <c r="E258" s="91">
        <f>VLOOKUP(2061,收盤價!A:C,3,0)</f>
        <v>11.45</v>
      </c>
      <c r="F258" s="93">
        <v>718953488.37209296</v>
      </c>
      <c r="G258" s="93">
        <v>1119439000</v>
      </c>
      <c r="H258" s="117">
        <v>0.64</v>
      </c>
      <c r="I258" s="117">
        <v>0</v>
      </c>
    </row>
    <row r="259" spans="1:9">
      <c r="A259" s="116">
        <v>2062</v>
      </c>
      <c r="B259" s="91">
        <v>0.68</v>
      </c>
      <c r="C259" s="92">
        <v>1</v>
      </c>
      <c r="D259" s="94">
        <v>161764705.88235292</v>
      </c>
      <c r="E259" s="91">
        <f>VLOOKUP(2062,收盤價!A:C,3,0)</f>
        <v>44.85</v>
      </c>
      <c r="F259" s="93">
        <v>7255147058.8235283</v>
      </c>
      <c r="G259" s="93">
        <v>6560411000</v>
      </c>
      <c r="H259" s="117">
        <v>1.1100000000000001</v>
      </c>
      <c r="I259" s="117">
        <v>16.489999999999998</v>
      </c>
    </row>
    <row r="260" spans="1:9">
      <c r="A260" s="116">
        <v>2063</v>
      </c>
      <c r="B260" s="91">
        <v>0.38</v>
      </c>
      <c r="C260" s="92">
        <v>1</v>
      </c>
      <c r="D260" s="94">
        <v>42105263.157894738</v>
      </c>
      <c r="E260" s="91">
        <f>VLOOKUP(2063,收盤價!A:C,3,0)</f>
        <v>24.8</v>
      </c>
      <c r="F260" s="93">
        <v>1044210526.3157896</v>
      </c>
      <c r="G260" s="93">
        <v>673405000</v>
      </c>
      <c r="H260" s="117">
        <v>1.55</v>
      </c>
      <c r="I260" s="117">
        <v>16.32</v>
      </c>
    </row>
    <row r="261" spans="1:9">
      <c r="A261" s="116">
        <v>2064</v>
      </c>
      <c r="B261" s="91">
        <v>0.32</v>
      </c>
      <c r="C261" s="92">
        <v>1</v>
      </c>
      <c r="D261" s="94">
        <v>68750000</v>
      </c>
      <c r="E261" s="91">
        <f>VLOOKUP(2064,收盤價!A:C,3,0)</f>
        <v>16.899999999999999</v>
      </c>
      <c r="F261" s="93">
        <v>1161875000</v>
      </c>
      <c r="G261" s="93">
        <v>2568381000</v>
      </c>
      <c r="H261" s="117">
        <v>0.45</v>
      </c>
      <c r="I261" s="117">
        <v>13.2</v>
      </c>
    </row>
    <row r="262" spans="1:9">
      <c r="A262" s="116">
        <v>2066</v>
      </c>
      <c r="B262" s="91">
        <v>1.31</v>
      </c>
      <c r="C262" s="92">
        <v>1</v>
      </c>
      <c r="D262" s="94">
        <v>35877862.595419846</v>
      </c>
      <c r="E262" s="91">
        <f>VLOOKUP(2066,收盤價!A:C,3,0)</f>
        <v>97.5</v>
      </c>
      <c r="F262" s="93">
        <v>3498091603.0534348</v>
      </c>
      <c r="G262" s="93">
        <v>1300251000</v>
      </c>
      <c r="H262" s="117">
        <v>2.69</v>
      </c>
      <c r="I262" s="117">
        <v>18.61</v>
      </c>
    </row>
    <row r="263" spans="1:9">
      <c r="A263" s="116">
        <v>2067</v>
      </c>
      <c r="B263" s="91">
        <v>-1.08</v>
      </c>
      <c r="C263" s="92">
        <v>0.8936170212765957</v>
      </c>
      <c r="D263" s="94">
        <v>28703703.703703701</v>
      </c>
      <c r="E263" s="91">
        <f>VLOOKUP(2067,收盤價!A:C,3,0)</f>
        <v>15.25</v>
      </c>
      <c r="F263" s="93">
        <v>437731481.48148143</v>
      </c>
      <c r="G263" s="93">
        <v>892810000</v>
      </c>
      <c r="H263" s="117">
        <v>0.49</v>
      </c>
      <c r="I263" s="117">
        <v>0</v>
      </c>
    </row>
    <row r="264" spans="1:9">
      <c r="A264" s="116">
        <v>2101</v>
      </c>
      <c r="B264" s="91">
        <v>0.37</v>
      </c>
      <c r="C264" s="92">
        <v>0.66417910447761197</v>
      </c>
      <c r="D264" s="94">
        <v>843243243.24324322</v>
      </c>
      <c r="E264" s="91">
        <f>VLOOKUP(2101,收盤價!A:C,3,0)</f>
        <v>29.35</v>
      </c>
      <c r="F264" s="93">
        <v>24749189189.18919</v>
      </c>
      <c r="G264" s="93">
        <v>11096948000</v>
      </c>
      <c r="H264" s="117">
        <v>2.23</v>
      </c>
      <c r="I264" s="117">
        <v>29.86</v>
      </c>
    </row>
    <row r="265" spans="1:9">
      <c r="A265" s="116">
        <v>2012</v>
      </c>
      <c r="B265" s="91">
        <v>0.06</v>
      </c>
      <c r="C265" s="92">
        <v>1</v>
      </c>
      <c r="D265" s="94">
        <v>283333333.33333337</v>
      </c>
      <c r="E265" s="91">
        <f>VLOOKUP(2012,收盤價!A:C,3,0)</f>
        <v>13.85</v>
      </c>
      <c r="F265" s="93">
        <v>3924166666.666667</v>
      </c>
      <c r="G265" s="93">
        <v>8852816000</v>
      </c>
      <c r="H265" s="117">
        <v>0.44</v>
      </c>
      <c r="I265" s="117">
        <v>57.71</v>
      </c>
    </row>
    <row r="266" spans="1:9">
      <c r="A266" s="116">
        <v>2103</v>
      </c>
      <c r="B266" s="91">
        <v>0.42</v>
      </c>
      <c r="C266" s="92">
        <v>1</v>
      </c>
      <c r="D266" s="94">
        <v>835714285.71428573</v>
      </c>
      <c r="E266" s="91">
        <f>VLOOKUP(2103,收盤價!A:C,3,0)</f>
        <v>22.7</v>
      </c>
      <c r="F266" s="93">
        <v>18970714285.714287</v>
      </c>
      <c r="G266" s="93">
        <v>27992130000</v>
      </c>
      <c r="H266" s="117">
        <v>0.68</v>
      </c>
      <c r="I266" s="117">
        <v>13.51</v>
      </c>
    </row>
    <row r="267" spans="1:9">
      <c r="A267" s="116">
        <v>1514</v>
      </c>
      <c r="B267" s="91">
        <v>0.11</v>
      </c>
      <c r="C267" s="92">
        <v>0.68181818181818177</v>
      </c>
      <c r="D267" s="94">
        <v>209090909.09090909</v>
      </c>
      <c r="E267" s="91">
        <f>VLOOKUP(1514,收盤價!A:C,3,0)</f>
        <v>8.39</v>
      </c>
      <c r="F267" s="93">
        <v>1754272727.2727275</v>
      </c>
      <c r="G267" s="93">
        <v>3741111000</v>
      </c>
      <c r="H267" s="117">
        <v>0.47</v>
      </c>
      <c r="I267" s="117">
        <v>27.97</v>
      </c>
    </row>
    <row r="268" spans="1:9">
      <c r="A268" s="116">
        <v>2105</v>
      </c>
      <c r="B268" s="91">
        <v>1</v>
      </c>
      <c r="C268" s="92">
        <v>1</v>
      </c>
      <c r="D268" s="94">
        <v>3255000000</v>
      </c>
      <c r="E268" s="91">
        <f>VLOOKUP(2105,收盤價!A:C,3,0)</f>
        <v>59.7</v>
      </c>
      <c r="F268" s="93">
        <v>194323500000</v>
      </c>
      <c r="G268" s="93">
        <v>121092784000</v>
      </c>
      <c r="H268" s="117">
        <v>1.6</v>
      </c>
      <c r="I268" s="117">
        <v>14.92</v>
      </c>
    </row>
    <row r="269" spans="1:9">
      <c r="A269" s="116">
        <v>2106</v>
      </c>
      <c r="B269" s="91">
        <v>1.03</v>
      </c>
      <c r="C269" s="92">
        <v>1</v>
      </c>
      <c r="D269" s="94">
        <v>819417475.72815537</v>
      </c>
      <c r="E269" s="91">
        <f>VLOOKUP(2106,收盤價!A:C,3,0)</f>
        <v>52.2</v>
      </c>
      <c r="F269" s="93">
        <v>42773592233.009712</v>
      </c>
      <c r="G269" s="93">
        <v>32049810000</v>
      </c>
      <c r="H269" s="117">
        <v>1.33</v>
      </c>
      <c r="I269" s="117">
        <v>12.67</v>
      </c>
    </row>
    <row r="270" spans="1:9">
      <c r="A270" s="116">
        <v>2601</v>
      </c>
      <c r="B270" s="91">
        <v>0.15</v>
      </c>
      <c r="C270" s="92">
        <v>1</v>
      </c>
      <c r="D270" s="94">
        <v>366666666.66666669</v>
      </c>
      <c r="E270" s="91">
        <f>VLOOKUP(2601,收盤價!A:C,3,0)</f>
        <v>12.1</v>
      </c>
      <c r="F270" s="93">
        <v>4436666666.666667</v>
      </c>
      <c r="G270" s="93">
        <v>8884119000</v>
      </c>
      <c r="H270" s="117">
        <v>0.5</v>
      </c>
      <c r="I270" s="117">
        <v>20.170000000000002</v>
      </c>
    </row>
    <row r="271" spans="1:9">
      <c r="A271" s="116">
        <v>8358</v>
      </c>
      <c r="B271" s="91">
        <v>-0.26</v>
      </c>
      <c r="C271" s="92">
        <v>0.64800000000000002</v>
      </c>
      <c r="D271" s="94">
        <v>211538461.53846154</v>
      </c>
      <c r="E271" s="91">
        <f>VLOOKUP(8358,收盤價!A:C,3,0)</f>
        <v>8.64</v>
      </c>
      <c r="F271" s="93">
        <v>1827692307.6923077</v>
      </c>
      <c r="G271" s="93">
        <v>3953819000</v>
      </c>
      <c r="H271" s="117">
        <v>0.46</v>
      </c>
      <c r="I271" s="117">
        <v>0</v>
      </c>
    </row>
    <row r="272" spans="1:9">
      <c r="A272" s="116">
        <v>1201</v>
      </c>
      <c r="B272" s="91">
        <v>-0.61</v>
      </c>
      <c r="C272" s="92">
        <v>0.86356073211314477</v>
      </c>
      <c r="D272" s="94">
        <v>504918032.78688526</v>
      </c>
      <c r="E272" s="91">
        <f>VLOOKUP(1201,收盤價!A:C,3,0)</f>
        <v>20.3</v>
      </c>
      <c r="F272" s="93">
        <v>10249836065.573771</v>
      </c>
      <c r="G272" s="95">
        <v>21566807000</v>
      </c>
      <c r="H272" s="117">
        <v>0.48</v>
      </c>
      <c r="I272" s="117">
        <v>0</v>
      </c>
    </row>
    <row r="273" spans="1:9">
      <c r="A273" s="116">
        <v>2114</v>
      </c>
      <c r="B273" s="91">
        <v>1.27</v>
      </c>
      <c r="C273" s="92">
        <v>1</v>
      </c>
      <c r="D273" s="94">
        <v>67716535.433070868</v>
      </c>
      <c r="E273" s="91">
        <f>VLOOKUP(2114,收盤價!A:C,3,0)</f>
        <v>78.7</v>
      </c>
      <c r="F273" s="93">
        <v>5329291338.5826778</v>
      </c>
      <c r="G273" s="93">
        <v>2062322000</v>
      </c>
      <c r="H273" s="117">
        <v>2.58</v>
      </c>
      <c r="I273" s="117">
        <v>15.49</v>
      </c>
    </row>
    <row r="274" spans="1:9">
      <c r="A274" s="116">
        <v>2115</v>
      </c>
      <c r="B274" s="91">
        <v>0.88</v>
      </c>
      <c r="C274" s="92">
        <v>0.93495934959349591</v>
      </c>
      <c r="D274" s="94">
        <v>73863636.36363636</v>
      </c>
      <c r="E274" s="91">
        <f>VLOOKUP(2115,收盤價!A:C,3,0)</f>
        <v>45.6</v>
      </c>
      <c r="F274" s="93">
        <v>3368181818.181818</v>
      </c>
      <c r="G274" s="93">
        <v>2591913000</v>
      </c>
      <c r="H274" s="117">
        <v>1.3</v>
      </c>
      <c r="I274" s="117">
        <v>13.86</v>
      </c>
    </row>
    <row r="275" spans="1:9">
      <c r="A275" s="116">
        <v>2201</v>
      </c>
      <c r="B275" s="91">
        <v>0.44</v>
      </c>
      <c r="C275" s="92">
        <v>0</v>
      </c>
      <c r="D275" s="94">
        <v>1470454545.4545455</v>
      </c>
      <c r="E275" s="91">
        <f>VLOOKUP(2201,收盤價!A:C,3,0)</f>
        <v>34.15</v>
      </c>
      <c r="F275" s="93">
        <v>50216022727.272728</v>
      </c>
      <c r="G275" s="93">
        <v>122726176000</v>
      </c>
      <c r="H275" s="117">
        <v>0.41</v>
      </c>
      <c r="I275" s="117">
        <v>0</v>
      </c>
    </row>
    <row r="276" spans="1:9">
      <c r="A276" s="116">
        <v>2204</v>
      </c>
      <c r="B276" s="91">
        <v>0.68</v>
      </c>
      <c r="C276" s="92">
        <v>0.64412070759625395</v>
      </c>
      <c r="D276" s="94">
        <v>1372058823.5294116</v>
      </c>
      <c r="E276" s="91">
        <f>VLOOKUP(2204,收盤價!A:C,3,0)</f>
        <v>23.4</v>
      </c>
      <c r="F276" s="93">
        <v>32106176470.58823</v>
      </c>
      <c r="G276" s="93">
        <v>36302765000</v>
      </c>
      <c r="H276" s="117">
        <v>0.88</v>
      </c>
      <c r="I276" s="117">
        <v>13.36</v>
      </c>
    </row>
    <row r="277" spans="1:9">
      <c r="A277" s="116">
        <v>2206</v>
      </c>
      <c r="B277" s="91">
        <v>0.36</v>
      </c>
      <c r="C277" s="92">
        <v>8.9918256130790186E-2</v>
      </c>
      <c r="D277" s="94">
        <v>863888888.88888896</v>
      </c>
      <c r="E277" s="91">
        <f>VLOOKUP(2206,收盤價!A:C,3,0)</f>
        <v>22.2</v>
      </c>
      <c r="F277" s="93">
        <v>19178333333.333336</v>
      </c>
      <c r="G277" s="93">
        <v>34799682000</v>
      </c>
      <c r="H277" s="117">
        <v>0.55000000000000004</v>
      </c>
      <c r="I277" s="117">
        <v>171.45</v>
      </c>
    </row>
    <row r="278" spans="1:9">
      <c r="A278" s="116">
        <v>2357</v>
      </c>
      <c r="B278" s="91">
        <v>6.27</v>
      </c>
      <c r="C278" s="92">
        <v>0.86711441592708083</v>
      </c>
      <c r="D278" s="94">
        <v>742902711.32376397</v>
      </c>
      <c r="E278" s="91">
        <f>VLOOKUP(2357,收盤價!A:C,3,0)</f>
        <v>299.5</v>
      </c>
      <c r="F278" s="93">
        <v>222499362041.46732</v>
      </c>
      <c r="G278" s="93">
        <v>475013990000</v>
      </c>
      <c r="H278" s="117">
        <v>0.47</v>
      </c>
      <c r="I278" s="117">
        <v>13.77</v>
      </c>
    </row>
    <row r="279" spans="1:9">
      <c r="A279" s="116">
        <v>2405</v>
      </c>
      <c r="B279" s="91">
        <v>-0.23</v>
      </c>
      <c r="C279" s="92">
        <v>1</v>
      </c>
      <c r="D279" s="94">
        <v>343478260.86956519</v>
      </c>
      <c r="E279" s="91">
        <f>VLOOKUP(2405,收盤價!A:C,3,0)</f>
        <v>7.47</v>
      </c>
      <c r="F279" s="93">
        <v>2565782608.695652</v>
      </c>
      <c r="G279" s="93">
        <v>5173284000</v>
      </c>
      <c r="H279" s="117">
        <v>0.5</v>
      </c>
      <c r="I279" s="117">
        <v>0</v>
      </c>
    </row>
    <row r="280" spans="1:9">
      <c r="A280" s="116">
        <v>2221</v>
      </c>
      <c r="B280" s="91">
        <v>0.38</v>
      </c>
      <c r="C280" s="92">
        <v>1</v>
      </c>
      <c r="D280" s="94">
        <v>42105263.157894738</v>
      </c>
      <c r="E280" s="91">
        <f>VLOOKUP(2221,收盤價!A:C,3,0)</f>
        <v>19.5</v>
      </c>
      <c r="F280" s="93">
        <v>821052631.57894742</v>
      </c>
      <c r="G280" s="93">
        <v>742613000</v>
      </c>
      <c r="H280" s="117">
        <v>1.1100000000000001</v>
      </c>
      <c r="I280" s="117">
        <v>12.83</v>
      </c>
    </row>
    <row r="281" spans="1:9">
      <c r="A281" s="116">
        <v>1305</v>
      </c>
      <c r="B281" s="91">
        <v>0.54</v>
      </c>
      <c r="C281" s="92">
        <v>1</v>
      </c>
      <c r="D281" s="94">
        <v>468518518.51851851</v>
      </c>
      <c r="E281" s="91">
        <f>VLOOKUP(1305,收盤價!A:C,3,0)</f>
        <v>14.2</v>
      </c>
      <c r="F281" s="93">
        <v>6652962962.9629622</v>
      </c>
      <c r="G281" s="93">
        <v>13726424000</v>
      </c>
      <c r="H281" s="117">
        <v>0.48</v>
      </c>
      <c r="I281" s="117">
        <v>6.57</v>
      </c>
    </row>
    <row r="282" spans="1:9">
      <c r="A282" s="116">
        <v>2228</v>
      </c>
      <c r="B282" s="91">
        <v>1.57</v>
      </c>
      <c r="C282" s="92">
        <v>0.77865612648221338</v>
      </c>
      <c r="D282" s="94">
        <v>71974522.292993635</v>
      </c>
      <c r="E282" s="91">
        <f>VLOOKUP(2228,收盤價!A:C,3,0)</f>
        <v>174.5</v>
      </c>
      <c r="F282" s="93">
        <v>12559554140.12739</v>
      </c>
      <c r="G282" s="93">
        <v>3752744000</v>
      </c>
      <c r="H282" s="117">
        <v>3.35</v>
      </c>
      <c r="I282" s="117">
        <v>35.69</v>
      </c>
    </row>
    <row r="283" spans="1:9">
      <c r="A283" s="116">
        <v>2230</v>
      </c>
      <c r="B283" s="91">
        <v>0</v>
      </c>
      <c r="C283" s="92">
        <v>0</v>
      </c>
      <c r="D283" s="94">
        <v>0</v>
      </c>
      <c r="E283" s="91">
        <f>VLOOKUP(2230,收盤價!A:C,3,0)</f>
        <v>14.65</v>
      </c>
      <c r="F283" s="93">
        <v>0</v>
      </c>
      <c r="G283" s="93">
        <v>371987000</v>
      </c>
      <c r="H283" s="117">
        <v>0</v>
      </c>
      <c r="I283" s="117">
        <v>0</v>
      </c>
    </row>
    <row r="284" spans="1:9">
      <c r="A284" s="116">
        <v>2231</v>
      </c>
      <c r="B284" s="91">
        <v>3.45</v>
      </c>
      <c r="C284" s="92">
        <v>1</v>
      </c>
      <c r="D284" s="94">
        <v>72463768.115942031</v>
      </c>
      <c r="E284" s="91">
        <f>VLOOKUP(2231,收盤價!A:C,3,0)</f>
        <v>394.5</v>
      </c>
      <c r="F284" s="93">
        <v>28586956521.739132</v>
      </c>
      <c r="G284" s="93">
        <v>2642223000</v>
      </c>
      <c r="H284" s="117">
        <v>10.82</v>
      </c>
      <c r="I284" s="117">
        <v>28.59</v>
      </c>
    </row>
    <row r="285" spans="1:9">
      <c r="A285" s="116">
        <v>2233</v>
      </c>
      <c r="B285" s="91">
        <v>1.24</v>
      </c>
      <c r="C285" s="92">
        <v>1</v>
      </c>
      <c r="D285" s="94">
        <v>49193548.387096778</v>
      </c>
      <c r="E285" s="91">
        <f>VLOOKUP(2233,收盤價!A:C,3,0)</f>
        <v>60.9</v>
      </c>
      <c r="F285" s="93">
        <v>2995887096.7741938</v>
      </c>
      <c r="G285" s="93">
        <v>1938699000</v>
      </c>
      <c r="H285" s="117">
        <v>1.55</v>
      </c>
      <c r="I285" s="117">
        <v>12.28</v>
      </c>
    </row>
    <row r="286" spans="1:9">
      <c r="A286" s="116">
        <v>2235</v>
      </c>
      <c r="B286" s="91">
        <v>1.43</v>
      </c>
      <c r="C286" s="92">
        <v>0.96666666666666667</v>
      </c>
      <c r="D286" s="94">
        <v>31468531.468531471</v>
      </c>
      <c r="E286" s="91">
        <f>VLOOKUP(2235,收盤價!A:C,3,0)</f>
        <v>105</v>
      </c>
      <c r="F286" s="93">
        <v>3304195804.1958046</v>
      </c>
      <c r="G286" s="93">
        <v>870147000</v>
      </c>
      <c r="H286" s="117">
        <v>3.8</v>
      </c>
      <c r="I286" s="117">
        <v>18.989999999999998</v>
      </c>
    </row>
    <row r="287" spans="1:9">
      <c r="A287" s="116">
        <v>2236</v>
      </c>
      <c r="B287" s="91">
        <v>0.05</v>
      </c>
      <c r="C287" s="92">
        <v>1</v>
      </c>
      <c r="D287" s="94">
        <v>40000000</v>
      </c>
      <c r="E287" s="91">
        <f>VLOOKUP(2236,收盤價!A:C,3,0)</f>
        <v>27.05</v>
      </c>
      <c r="F287" s="93">
        <v>1082000000</v>
      </c>
      <c r="G287" s="93">
        <v>639156000</v>
      </c>
      <c r="H287" s="117">
        <v>1.69</v>
      </c>
      <c r="I287" s="117">
        <v>135.25</v>
      </c>
    </row>
    <row r="288" spans="1:9">
      <c r="A288" s="116">
        <v>2301</v>
      </c>
      <c r="B288" s="91">
        <v>0.62</v>
      </c>
      <c r="C288" s="92">
        <v>0.76990575235619108</v>
      </c>
      <c r="D288" s="94">
        <v>2308064516.1290321</v>
      </c>
      <c r="E288" s="91">
        <f>VLOOKUP(2301,收盤價!A:C,3,0)</f>
        <v>33.450000000000003</v>
      </c>
      <c r="F288" s="93">
        <v>77204758064.516129</v>
      </c>
      <c r="G288" s="93">
        <v>219011843000</v>
      </c>
      <c r="H288" s="117">
        <v>0.35</v>
      </c>
      <c r="I288" s="117">
        <v>17.52</v>
      </c>
    </row>
    <row r="289" spans="1:9">
      <c r="A289" s="116">
        <v>2302</v>
      </c>
      <c r="B289" s="91">
        <v>0</v>
      </c>
      <c r="C289" s="92">
        <v>0</v>
      </c>
      <c r="D289" s="94">
        <v>0</v>
      </c>
      <c r="E289" s="91">
        <f>VLOOKUP(2302,收盤價!A:C,3,0)</f>
        <v>6.38</v>
      </c>
      <c r="F289" s="93">
        <v>0</v>
      </c>
      <c r="G289" s="93">
        <v>535178000</v>
      </c>
      <c r="H289" s="117">
        <v>0</v>
      </c>
      <c r="I289" s="117">
        <v>0</v>
      </c>
    </row>
    <row r="290" spans="1:9">
      <c r="A290" s="116">
        <v>2303</v>
      </c>
      <c r="B290" s="91">
        <v>0.37</v>
      </c>
      <c r="C290" s="92">
        <v>0.81829836829836833</v>
      </c>
      <c r="D290" s="94">
        <v>12432432432.432432</v>
      </c>
      <c r="E290" s="91">
        <f>VLOOKUP(2303,收盤價!A:C,3,0)</f>
        <v>12.15</v>
      </c>
      <c r="F290" s="93">
        <v>151054054054.05405</v>
      </c>
      <c r="G290" s="93">
        <v>150047711000</v>
      </c>
      <c r="H290" s="117">
        <v>1.01</v>
      </c>
      <c r="I290" s="117">
        <v>10.029999999999999</v>
      </c>
    </row>
    <row r="291" spans="1:9">
      <c r="A291" s="116">
        <v>3019</v>
      </c>
      <c r="B291" s="91">
        <v>0.21</v>
      </c>
      <c r="C291" s="92">
        <v>0</v>
      </c>
      <c r="D291" s="94">
        <v>280952380.95238096</v>
      </c>
      <c r="E291" s="91">
        <f>VLOOKUP(3019,收盤價!A:C,3,0)</f>
        <v>33.6</v>
      </c>
      <c r="F291" s="93">
        <v>9440000000</v>
      </c>
      <c r="G291" s="93">
        <v>18163038000</v>
      </c>
      <c r="H291" s="117">
        <v>0.52</v>
      </c>
      <c r="I291" s="117">
        <v>0</v>
      </c>
    </row>
    <row r="292" spans="1:9">
      <c r="A292" s="116">
        <v>2308</v>
      </c>
      <c r="B292" s="91">
        <v>1.55</v>
      </c>
      <c r="C292" s="92">
        <v>0.79428273071400601</v>
      </c>
      <c r="D292" s="94">
        <v>2448387096.7741933</v>
      </c>
      <c r="E292" s="91">
        <f>VLOOKUP(2308,收盤價!A:C,3,0)</f>
        <v>163</v>
      </c>
      <c r="F292" s="93">
        <v>399087096774.19348</v>
      </c>
      <c r="G292" s="93">
        <v>195145659000</v>
      </c>
      <c r="H292" s="117">
        <v>2.0499999999999998</v>
      </c>
      <c r="I292" s="117">
        <v>33.1</v>
      </c>
    </row>
    <row r="293" spans="1:9">
      <c r="A293" s="116">
        <v>2311</v>
      </c>
      <c r="B293" s="91">
        <v>0.48</v>
      </c>
      <c r="C293" s="92">
        <v>1</v>
      </c>
      <c r="D293" s="94">
        <v>7606250000</v>
      </c>
      <c r="E293" s="91">
        <f>VLOOKUP(2311,收盤價!A:C,3,0)</f>
        <v>37.700000000000003</v>
      </c>
      <c r="F293" s="93">
        <v>286755625000</v>
      </c>
      <c r="G293" s="93">
        <v>281763622000</v>
      </c>
      <c r="H293" s="117">
        <v>1.02</v>
      </c>
      <c r="I293" s="117">
        <v>19.64</v>
      </c>
    </row>
    <row r="294" spans="1:9">
      <c r="A294" s="116">
        <v>2312</v>
      </c>
      <c r="B294" s="91">
        <v>0.42</v>
      </c>
      <c r="C294" s="92">
        <v>0.31386138613861386</v>
      </c>
      <c r="D294" s="94">
        <v>1383333333.3333335</v>
      </c>
      <c r="E294" s="91">
        <f>VLOOKUP(2312,收盤價!A:C,3,0)</f>
        <v>10.55</v>
      </c>
      <c r="F294" s="93">
        <v>14594166666.66667</v>
      </c>
      <c r="G294" s="93">
        <v>51879254000</v>
      </c>
      <c r="H294" s="117">
        <v>0.28000000000000003</v>
      </c>
      <c r="I294" s="117">
        <v>20.010000000000002</v>
      </c>
    </row>
    <row r="295" spans="1:9">
      <c r="A295" s="116">
        <v>2313</v>
      </c>
      <c r="B295" s="91">
        <v>0.4</v>
      </c>
      <c r="C295" s="92">
        <v>1</v>
      </c>
      <c r="D295" s="94">
        <v>1195000000</v>
      </c>
      <c r="E295" s="91">
        <f>VLOOKUP(2313,收盤價!A:C,3,0)</f>
        <v>22.6</v>
      </c>
      <c r="F295" s="93">
        <v>27007000000</v>
      </c>
      <c r="G295" s="93">
        <v>39198159000</v>
      </c>
      <c r="H295" s="117">
        <v>0.69</v>
      </c>
      <c r="I295" s="117">
        <v>14.12</v>
      </c>
    </row>
    <row r="296" spans="1:9">
      <c r="A296" s="116">
        <v>3038</v>
      </c>
      <c r="B296" s="91">
        <v>0.2</v>
      </c>
      <c r="C296" s="92">
        <v>1</v>
      </c>
      <c r="D296" s="94">
        <v>215000000</v>
      </c>
      <c r="E296" s="91">
        <f>VLOOKUP(3038,收盤價!A:C,3,0)</f>
        <v>8.4</v>
      </c>
      <c r="F296" s="93">
        <v>1806000000</v>
      </c>
      <c r="G296" s="93">
        <v>3511948000</v>
      </c>
      <c r="H296" s="117">
        <v>0.51</v>
      </c>
      <c r="I296" s="117">
        <v>10.5</v>
      </c>
    </row>
    <row r="297" spans="1:9">
      <c r="A297" s="116">
        <v>8105</v>
      </c>
      <c r="B297" s="91">
        <v>0.11</v>
      </c>
      <c r="C297" s="92">
        <v>0</v>
      </c>
      <c r="D297" s="94">
        <v>427272727.27272725</v>
      </c>
      <c r="E297" s="91">
        <f>VLOOKUP(8105,收盤價!A:C,3,0)</f>
        <v>13.05</v>
      </c>
      <c r="F297" s="93">
        <v>5575909090.909091</v>
      </c>
      <c r="G297" s="93">
        <v>10531889000</v>
      </c>
      <c r="H297" s="117">
        <v>0.53</v>
      </c>
      <c r="I297" s="117">
        <v>0</v>
      </c>
    </row>
    <row r="298" spans="1:9">
      <c r="A298" s="116">
        <v>2317</v>
      </c>
      <c r="B298" s="91">
        <v>1.65</v>
      </c>
      <c r="C298" s="92">
        <v>0.83821667409719125</v>
      </c>
      <c r="D298" s="94">
        <v>15569696969.69697</v>
      </c>
      <c r="E298" s="91">
        <f>VLOOKUP(2317,收盤價!A:C,3,0)</f>
        <v>86.6</v>
      </c>
      <c r="F298" s="93">
        <v>1348335757575.7576</v>
      </c>
      <c r="G298" s="93">
        <v>4506829060000</v>
      </c>
      <c r="H298" s="117">
        <v>0.3</v>
      </c>
      <c r="I298" s="117">
        <v>15.65</v>
      </c>
    </row>
    <row r="299" spans="1:9">
      <c r="A299" s="116">
        <v>6153</v>
      </c>
      <c r="B299" s="91">
        <v>-0.16</v>
      </c>
      <c r="C299" s="92">
        <v>1</v>
      </c>
      <c r="D299" s="94">
        <v>325000000</v>
      </c>
      <c r="E299" s="91">
        <f>VLOOKUP(6153,收盤價!A:C,3,0)</f>
        <v>27</v>
      </c>
      <c r="F299" s="93">
        <v>8775000000</v>
      </c>
      <c r="G299" s="93">
        <v>17381955000</v>
      </c>
      <c r="H299" s="117">
        <v>0.5</v>
      </c>
      <c r="I299" s="117">
        <v>0</v>
      </c>
    </row>
    <row r="300" spans="1:9">
      <c r="A300" s="116">
        <v>2323</v>
      </c>
      <c r="B300" s="91">
        <v>-0.16</v>
      </c>
      <c r="C300" s="92">
        <v>0.96717171717171713</v>
      </c>
      <c r="D300" s="94">
        <v>2118750000</v>
      </c>
      <c r="E300" s="91">
        <f>VLOOKUP(2323,收盤價!A:C,3,0)</f>
        <v>3.84</v>
      </c>
      <c r="F300" s="93">
        <v>8136000000</v>
      </c>
      <c r="G300" s="93">
        <v>14686187000</v>
      </c>
      <c r="H300" s="117">
        <v>0.55000000000000004</v>
      </c>
      <c r="I300" s="117">
        <v>0</v>
      </c>
    </row>
    <row r="301" spans="1:9">
      <c r="A301" s="116">
        <v>2324</v>
      </c>
      <c r="B301" s="91">
        <v>0.35</v>
      </c>
      <c r="C301" s="92">
        <v>1</v>
      </c>
      <c r="D301" s="94">
        <v>4302857142.8571434</v>
      </c>
      <c r="E301" s="91">
        <f>VLOOKUP(2324,收盤價!A:C,3,0)</f>
        <v>20.399999999999999</v>
      </c>
      <c r="F301" s="93">
        <v>87778285714.285721</v>
      </c>
      <c r="G301" s="93">
        <v>852874142000</v>
      </c>
      <c r="H301" s="117">
        <v>0.1</v>
      </c>
      <c r="I301" s="117">
        <v>14.57</v>
      </c>
    </row>
    <row r="302" spans="1:9">
      <c r="A302" s="116">
        <v>2325</v>
      </c>
      <c r="B302" s="91">
        <v>1.18</v>
      </c>
      <c r="C302" s="92">
        <v>0.95518118245390971</v>
      </c>
      <c r="D302" s="94">
        <v>3116101694.9152546</v>
      </c>
      <c r="E302" s="91">
        <f>VLOOKUP(2325,收盤價!A:C,3,0)</f>
        <v>41.9</v>
      </c>
      <c r="F302" s="93">
        <v>130564661016.94916</v>
      </c>
      <c r="G302" s="93">
        <v>83797626000</v>
      </c>
      <c r="H302" s="117">
        <v>1.56</v>
      </c>
      <c r="I302" s="117">
        <v>9.2899999999999991</v>
      </c>
    </row>
    <row r="303" spans="1:9">
      <c r="A303" s="116">
        <v>9937</v>
      </c>
      <c r="B303" s="91">
        <v>0.68</v>
      </c>
      <c r="C303" s="92">
        <v>0.28169014084507044</v>
      </c>
      <c r="D303" s="94">
        <v>308823529.41176468</v>
      </c>
      <c r="E303" s="91">
        <f>VLOOKUP(9937,收盤價!A:C,3,0)</f>
        <v>36.700000000000003</v>
      </c>
      <c r="F303" s="93">
        <v>11333823529.411764</v>
      </c>
      <c r="G303" s="93">
        <v>22680666000</v>
      </c>
      <c r="H303" s="117">
        <v>0.5</v>
      </c>
      <c r="I303" s="117">
        <v>47.9</v>
      </c>
    </row>
    <row r="304" spans="1:9">
      <c r="A304" s="116">
        <v>1715</v>
      </c>
      <c r="B304" s="91">
        <v>0.08</v>
      </c>
      <c r="C304" s="92">
        <v>1</v>
      </c>
      <c r="D304" s="94">
        <v>400000000</v>
      </c>
      <c r="E304" s="91">
        <f>VLOOKUP(1715,收盤價!A:C,3,0)</f>
        <v>13.6</v>
      </c>
      <c r="F304" s="93">
        <v>5440000000</v>
      </c>
      <c r="G304" s="93">
        <v>10764812000</v>
      </c>
      <c r="H304" s="117">
        <v>0.51</v>
      </c>
      <c r="I304" s="117">
        <v>42.5</v>
      </c>
    </row>
    <row r="305" spans="1:9">
      <c r="A305" s="116">
        <v>9933</v>
      </c>
      <c r="B305" s="91">
        <v>0.75</v>
      </c>
      <c r="C305" s="92">
        <v>1</v>
      </c>
      <c r="D305" s="94">
        <v>754666666.66666663</v>
      </c>
      <c r="E305" s="91">
        <f>VLOOKUP(9933,收盤價!A:C,3,0)</f>
        <v>43</v>
      </c>
      <c r="F305" s="93">
        <v>32450666666.666664</v>
      </c>
      <c r="G305" s="93">
        <v>62709485000</v>
      </c>
      <c r="H305" s="117">
        <v>0.52</v>
      </c>
      <c r="I305" s="117">
        <v>14.33</v>
      </c>
    </row>
    <row r="306" spans="1:9">
      <c r="A306" s="116">
        <v>2330</v>
      </c>
      <c r="B306" s="91">
        <v>3.06</v>
      </c>
      <c r="C306" s="92">
        <v>0.85672440785818893</v>
      </c>
      <c r="D306" s="94">
        <v>25953594771.241829</v>
      </c>
      <c r="E306" s="91">
        <f>VLOOKUP(2330,收盤價!A:C,3,0)</f>
        <v>137.5</v>
      </c>
      <c r="F306" s="93">
        <v>3568619281045.7515</v>
      </c>
      <c r="G306" s="93">
        <v>872832110000</v>
      </c>
      <c r="H306" s="117">
        <v>4.09</v>
      </c>
      <c r="I306" s="117">
        <v>13.11</v>
      </c>
    </row>
    <row r="307" spans="1:9">
      <c r="A307" s="116">
        <v>3026</v>
      </c>
      <c r="B307" s="91">
        <v>0.83</v>
      </c>
      <c r="C307" s="92">
        <v>0.92348284960422167</v>
      </c>
      <c r="D307" s="94">
        <v>224096385.54216868</v>
      </c>
      <c r="E307" s="91">
        <f>VLOOKUP(3026,收盤價!A:C,3,0)</f>
        <v>33.4</v>
      </c>
      <c r="F307" s="93">
        <v>7484819277.1084337</v>
      </c>
      <c r="G307" s="93">
        <v>14224807000</v>
      </c>
      <c r="H307" s="117">
        <v>0.53</v>
      </c>
      <c r="I307" s="117">
        <v>10.89</v>
      </c>
    </row>
    <row r="308" spans="1:9">
      <c r="A308" s="116">
        <v>5701</v>
      </c>
      <c r="B308" s="91">
        <v>-0.35</v>
      </c>
      <c r="C308" s="92">
        <v>0.88235294117647056</v>
      </c>
      <c r="D308" s="94">
        <v>248571428.5714286</v>
      </c>
      <c r="E308" s="91">
        <f>VLOOKUP(5701,收盤價!A:C,3,0)</f>
        <v>3.39</v>
      </c>
      <c r="F308" s="93">
        <v>842657142.85714293</v>
      </c>
      <c r="G308" s="93">
        <v>1548195000</v>
      </c>
      <c r="H308" s="117">
        <v>0.54</v>
      </c>
      <c r="I308" s="117">
        <v>0</v>
      </c>
    </row>
    <row r="309" spans="1:9">
      <c r="A309" s="116">
        <v>2337</v>
      </c>
      <c r="B309" s="91">
        <v>-0.35</v>
      </c>
      <c r="C309" s="92">
        <v>1</v>
      </c>
      <c r="D309" s="94">
        <v>3488571428.5714288</v>
      </c>
      <c r="E309" s="91">
        <f>VLOOKUP(2337,收盤價!A:C,3,0)</f>
        <v>4.8899999999999997</v>
      </c>
      <c r="F309" s="93">
        <v>17059114285.714285</v>
      </c>
      <c r="G309" s="93">
        <v>22288069000</v>
      </c>
      <c r="H309" s="117">
        <v>0.77</v>
      </c>
      <c r="I309" s="117">
        <v>0</v>
      </c>
    </row>
    <row r="310" spans="1:9">
      <c r="A310" s="116">
        <v>6168</v>
      </c>
      <c r="B310" s="91">
        <v>-0.62</v>
      </c>
      <c r="C310" s="92">
        <v>0.7142857142857143</v>
      </c>
      <c r="D310" s="94">
        <v>200000000</v>
      </c>
      <c r="E310" s="91">
        <f>VLOOKUP(6168,收盤價!A:C,3,0)</f>
        <v>12.75</v>
      </c>
      <c r="F310" s="93">
        <v>2550000000</v>
      </c>
      <c r="G310" s="93">
        <v>4544837000</v>
      </c>
      <c r="H310" s="117">
        <v>0.56000000000000005</v>
      </c>
      <c r="I310" s="117">
        <v>0</v>
      </c>
    </row>
    <row r="311" spans="1:9">
      <c r="A311" s="116">
        <v>6188</v>
      </c>
      <c r="B311" s="91">
        <v>0.41</v>
      </c>
      <c r="C311" s="92">
        <v>7.8048780487804878E-2</v>
      </c>
      <c r="D311" s="94">
        <v>278048780.48780489</v>
      </c>
      <c r="E311" s="91">
        <f>VLOOKUP(6188,收盤價!A:C,3,0)</f>
        <v>22.6</v>
      </c>
      <c r="F311" s="93">
        <v>6283902439.0243912</v>
      </c>
      <c r="G311" s="93">
        <v>12069316000</v>
      </c>
      <c r="H311" s="117">
        <v>0.52</v>
      </c>
      <c r="I311" s="117">
        <v>176.56</v>
      </c>
    </row>
    <row r="312" spans="1:9">
      <c r="A312" s="116">
        <v>6285</v>
      </c>
      <c r="B312" s="91">
        <v>1.22</v>
      </c>
      <c r="C312" s="92">
        <v>0.93348891481913654</v>
      </c>
      <c r="D312" s="94">
        <v>324590163.93442625</v>
      </c>
      <c r="E312" s="91">
        <f>VLOOKUP(6285,收盤價!A:C,3,0)</f>
        <v>79.599999999999994</v>
      </c>
      <c r="F312" s="93">
        <v>25837377049.180328</v>
      </c>
      <c r="G312" s="93">
        <v>48064264000</v>
      </c>
      <c r="H312" s="117">
        <v>0.54</v>
      </c>
      <c r="I312" s="117">
        <v>17.47</v>
      </c>
    </row>
    <row r="313" spans="1:9">
      <c r="A313" s="116">
        <v>2344</v>
      </c>
      <c r="B313" s="91">
        <v>0.22</v>
      </c>
      <c r="C313" s="92">
        <v>0.95724597445863413</v>
      </c>
      <c r="D313" s="94">
        <v>3640909090.909091</v>
      </c>
      <c r="E313" s="91">
        <f>VLOOKUP(2344,收盤價!A:C,3,0)</f>
        <v>7.73</v>
      </c>
      <c r="F313" s="93">
        <v>28144227272.727276</v>
      </c>
      <c r="G313" s="93">
        <v>38180790000</v>
      </c>
      <c r="H313" s="117">
        <v>0.74</v>
      </c>
      <c r="I313" s="117">
        <v>9.18</v>
      </c>
    </row>
    <row r="314" spans="1:9">
      <c r="A314" s="116">
        <v>9919</v>
      </c>
      <c r="B314" s="91">
        <v>7.0000000000000007E-2</v>
      </c>
      <c r="C314" s="92">
        <v>1</v>
      </c>
      <c r="D314" s="94">
        <v>199999999.99999997</v>
      </c>
      <c r="E314" s="91">
        <f>VLOOKUP(9919,收盤價!A:C,3,0)</f>
        <v>12.3</v>
      </c>
      <c r="F314" s="93">
        <v>2460000000</v>
      </c>
      <c r="G314" s="93">
        <v>4288626000</v>
      </c>
      <c r="H314" s="117">
        <v>0.56999999999999995</v>
      </c>
      <c r="I314" s="117">
        <v>43.93</v>
      </c>
    </row>
    <row r="315" spans="1:9">
      <c r="A315" s="116">
        <v>2347</v>
      </c>
      <c r="B315" s="91">
        <v>0.82</v>
      </c>
      <c r="C315" s="92">
        <v>0.54456654456654452</v>
      </c>
      <c r="D315" s="94">
        <v>1585365853.6585367</v>
      </c>
      <c r="E315" s="91">
        <f>VLOOKUP(2347,收盤價!A:C,3,0)</f>
        <v>33.799999999999997</v>
      </c>
      <c r="F315" s="93">
        <v>53585365853.658539</v>
      </c>
      <c r="G315" s="93">
        <v>317755523000</v>
      </c>
      <c r="H315" s="117">
        <v>0.17</v>
      </c>
      <c r="I315" s="117">
        <v>18.920000000000002</v>
      </c>
    </row>
    <row r="316" spans="1:9">
      <c r="A316" s="116">
        <v>2348</v>
      </c>
      <c r="B316" s="91">
        <v>-0.02</v>
      </c>
      <c r="C316" s="92">
        <v>1</v>
      </c>
      <c r="D316" s="94">
        <v>50000000</v>
      </c>
      <c r="E316" s="91">
        <f>VLOOKUP(2348,收盤價!A:C,3,0)</f>
        <v>0</v>
      </c>
      <c r="F316" s="93">
        <v>0</v>
      </c>
      <c r="G316" s="93">
        <v>1230417000</v>
      </c>
      <c r="H316" s="117">
        <v>0</v>
      </c>
      <c r="I316" s="117">
        <v>0</v>
      </c>
    </row>
    <row r="317" spans="1:9" ht="16.5" customHeight="1">
      <c r="A317" s="116">
        <v>2349</v>
      </c>
      <c r="B317" s="91">
        <v>0.01</v>
      </c>
      <c r="C317" s="92">
        <v>1</v>
      </c>
      <c r="D317" s="94">
        <v>3500000000</v>
      </c>
      <c r="E317" s="91">
        <f>VLOOKUP(2349,收盤價!A:C,3,0)</f>
        <v>3.01</v>
      </c>
      <c r="F317" s="93">
        <v>10535000000</v>
      </c>
      <c r="G317" s="93">
        <v>11733369000</v>
      </c>
      <c r="H317" s="117">
        <v>0.9</v>
      </c>
      <c r="I317" s="117">
        <v>75.25</v>
      </c>
    </row>
    <row r="318" spans="1:9">
      <c r="A318" s="116">
        <v>2351</v>
      </c>
      <c r="B318" s="91">
        <v>0.66</v>
      </c>
      <c r="C318" s="92">
        <v>1</v>
      </c>
      <c r="D318" s="94">
        <v>183333333.33333331</v>
      </c>
      <c r="E318" s="91">
        <f>VLOOKUP(2351,收盤價!A:C,3,0)</f>
        <v>27.8</v>
      </c>
      <c r="F318" s="93">
        <v>5096666666.666666</v>
      </c>
      <c r="G318" s="93">
        <v>9317995000</v>
      </c>
      <c r="H318" s="117">
        <v>0.55000000000000004</v>
      </c>
      <c r="I318" s="117">
        <v>10.53</v>
      </c>
    </row>
    <row r="319" spans="1:9">
      <c r="A319" s="116">
        <v>2352</v>
      </c>
      <c r="B319" s="91">
        <v>0.37</v>
      </c>
      <c r="C319" s="92">
        <v>0.45820895522388061</v>
      </c>
      <c r="D319" s="94">
        <v>1945945945.945946</v>
      </c>
      <c r="E319" s="91">
        <f>VLOOKUP(2352,收盤價!A:C,3,0)</f>
        <v>11.25</v>
      </c>
      <c r="F319" s="93">
        <v>21891891891.891891</v>
      </c>
      <c r="G319" s="93">
        <v>134038720000</v>
      </c>
      <c r="H319" s="117">
        <v>0.16</v>
      </c>
      <c r="I319" s="117">
        <v>16.59</v>
      </c>
    </row>
    <row r="320" spans="1:9">
      <c r="A320" s="116">
        <v>2353</v>
      </c>
      <c r="B320" s="91">
        <v>0</v>
      </c>
      <c r="C320" s="92">
        <v>0</v>
      </c>
      <c r="D320" s="94">
        <v>0</v>
      </c>
      <c r="E320" s="91">
        <f>VLOOKUP(2353,收盤價!A:C,3,0)</f>
        <v>14.2</v>
      </c>
      <c r="F320" s="93">
        <v>0</v>
      </c>
      <c r="G320" s="93">
        <v>282822943000</v>
      </c>
      <c r="H320" s="117">
        <v>0</v>
      </c>
      <c r="I320" s="117">
        <v>0</v>
      </c>
    </row>
    <row r="321" spans="1:9">
      <c r="A321" s="116">
        <v>2354</v>
      </c>
      <c r="B321" s="91">
        <v>2.08</v>
      </c>
      <c r="C321" s="92">
        <v>0.87768679631525082</v>
      </c>
      <c r="D321" s="94">
        <v>1390384615.3846154</v>
      </c>
      <c r="E321" s="91">
        <f>VLOOKUP(2354,收盤價!A:C,3,0)</f>
        <v>88.3</v>
      </c>
      <c r="F321" s="93">
        <v>122770961538.46153</v>
      </c>
      <c r="G321" s="93">
        <v>112399896000</v>
      </c>
      <c r="H321" s="117">
        <v>1.0900000000000001</v>
      </c>
      <c r="I321" s="117">
        <v>12.09</v>
      </c>
    </row>
    <row r="322" spans="1:9">
      <c r="A322" s="116">
        <v>2031</v>
      </c>
      <c r="B322" s="91">
        <v>-0.5</v>
      </c>
      <c r="C322" s="92">
        <v>0</v>
      </c>
      <c r="D322" s="94">
        <v>280000000</v>
      </c>
      <c r="E322" s="91">
        <f>VLOOKUP(2031,收盤價!A:C,3,0)</f>
        <v>14.65</v>
      </c>
      <c r="F322" s="93">
        <v>4102000000</v>
      </c>
      <c r="G322" s="93">
        <v>7320658000</v>
      </c>
      <c r="H322" s="117">
        <v>0.56000000000000005</v>
      </c>
      <c r="I322" s="117">
        <v>0</v>
      </c>
    </row>
    <row r="323" spans="1:9">
      <c r="A323" s="116">
        <v>2356</v>
      </c>
      <c r="B323" s="91">
        <v>0.32</v>
      </c>
      <c r="C323" s="92">
        <v>0.83568433091879524</v>
      </c>
      <c r="D323" s="94">
        <v>3656250000</v>
      </c>
      <c r="E323" s="91">
        <f>VLOOKUP(2356,收盤價!A:C,3,0)</f>
        <v>18.25</v>
      </c>
      <c r="F323" s="93">
        <v>66726562500</v>
      </c>
      <c r="G323" s="93">
        <v>394430348000</v>
      </c>
      <c r="H323" s="117">
        <v>0.17</v>
      </c>
      <c r="I323" s="117">
        <v>17.059999999999999</v>
      </c>
    </row>
    <row r="324" spans="1:9">
      <c r="A324" s="116">
        <v>6121</v>
      </c>
      <c r="B324" s="91">
        <v>2.34</v>
      </c>
      <c r="C324" s="92">
        <v>0.68918918918918914</v>
      </c>
      <c r="D324" s="94">
        <v>308547008.54700857</v>
      </c>
      <c r="E324" s="91">
        <f>VLOOKUP(6121,收盤價!A:C,3,0)</f>
        <v>115</v>
      </c>
      <c r="F324" s="93">
        <v>35482905982.905983</v>
      </c>
      <c r="G324" s="93">
        <v>65548221000</v>
      </c>
      <c r="H324" s="117">
        <v>0.54</v>
      </c>
      <c r="I324" s="117">
        <v>17.829999999999998</v>
      </c>
    </row>
    <row r="325" spans="1:9">
      <c r="A325" s="116">
        <v>2359</v>
      </c>
      <c r="B325" s="91">
        <v>0.1</v>
      </c>
      <c r="C325" s="92">
        <v>1</v>
      </c>
      <c r="D325" s="94">
        <v>180000000</v>
      </c>
      <c r="E325" s="91">
        <f>VLOOKUP(2359,收盤價!A:C,3,0)</f>
        <v>14.6</v>
      </c>
      <c r="F325" s="93">
        <v>2628000000</v>
      </c>
      <c r="G325" s="93">
        <v>4869026000</v>
      </c>
      <c r="H325" s="117">
        <v>0.54</v>
      </c>
      <c r="I325" s="117">
        <v>36.5</v>
      </c>
    </row>
    <row r="326" spans="1:9">
      <c r="A326" s="116">
        <v>6282</v>
      </c>
      <c r="B326" s="91">
        <v>0.2</v>
      </c>
      <c r="C326" s="92">
        <v>0.7544642857142857</v>
      </c>
      <c r="D326" s="94">
        <v>520000000</v>
      </c>
      <c r="E326" s="91">
        <f>VLOOKUP(6282,收盤價!A:C,3,0)</f>
        <v>22.75</v>
      </c>
      <c r="F326" s="93">
        <v>11830000000</v>
      </c>
      <c r="G326" s="93">
        <v>21665620000</v>
      </c>
      <c r="H326" s="117">
        <v>0.55000000000000004</v>
      </c>
      <c r="I326" s="117">
        <v>37.69</v>
      </c>
    </row>
    <row r="327" spans="1:9">
      <c r="A327" s="116">
        <v>2361</v>
      </c>
      <c r="B327" s="91">
        <v>-0.51</v>
      </c>
      <c r="C327" s="92">
        <v>0.74193548387096775</v>
      </c>
      <c r="D327" s="94">
        <v>72549019.607843131</v>
      </c>
      <c r="E327" s="91">
        <f>VLOOKUP(2361,收盤價!A:C,3,0)</f>
        <v>1.19</v>
      </c>
      <c r="F327" s="93">
        <v>86333333.333333328</v>
      </c>
      <c r="G327" s="93">
        <v>209253000</v>
      </c>
      <c r="H327" s="117">
        <v>0.41</v>
      </c>
      <c r="I327" s="117">
        <v>0</v>
      </c>
    </row>
    <row r="328" spans="1:9">
      <c r="A328" s="116">
        <v>1810</v>
      </c>
      <c r="B328" s="91">
        <v>0.14000000000000001</v>
      </c>
      <c r="C328" s="92">
        <v>0.66666666666666663</v>
      </c>
      <c r="D328" s="94">
        <v>371428571.4285714</v>
      </c>
      <c r="E328" s="91">
        <f>VLOOKUP(1810,收盤價!A:C,3,0)</f>
        <v>8.51</v>
      </c>
      <c r="F328" s="93">
        <v>3160857142.8571424</v>
      </c>
      <c r="G328" s="93">
        <v>5875022000</v>
      </c>
      <c r="H328" s="117">
        <v>0.54</v>
      </c>
      <c r="I328" s="117">
        <v>22.79</v>
      </c>
    </row>
    <row r="329" spans="1:9">
      <c r="A329" s="116">
        <v>2314</v>
      </c>
      <c r="B329" s="91">
        <v>-0.32</v>
      </c>
      <c r="C329" s="92">
        <v>1</v>
      </c>
      <c r="D329" s="94">
        <v>406250000</v>
      </c>
      <c r="E329" s="91">
        <f>VLOOKUP(2314,收盤價!A:C,3,0)</f>
        <v>9.5</v>
      </c>
      <c r="F329" s="93">
        <v>3859375000</v>
      </c>
      <c r="G329" s="93">
        <v>5936145000</v>
      </c>
      <c r="H329" s="117">
        <v>0.65</v>
      </c>
      <c r="I329" s="117">
        <v>0</v>
      </c>
    </row>
    <row r="330" spans="1:9">
      <c r="A330" s="116">
        <v>2364</v>
      </c>
      <c r="B330" s="91">
        <v>-0.32</v>
      </c>
      <c r="C330" s="92">
        <v>0.93220338983050843</v>
      </c>
      <c r="D330" s="94">
        <v>181250000</v>
      </c>
      <c r="E330" s="91">
        <f>VLOOKUP(2364,收盤價!A:C,3,0)</f>
        <v>5.23</v>
      </c>
      <c r="F330" s="93">
        <v>947937500.00000012</v>
      </c>
      <c r="G330" s="93">
        <v>767263000</v>
      </c>
      <c r="H330" s="117">
        <v>1.24</v>
      </c>
      <c r="I330" s="117">
        <v>0</v>
      </c>
    </row>
    <row r="331" spans="1:9">
      <c r="A331" s="116">
        <v>6412</v>
      </c>
      <c r="B331" s="91">
        <v>0.79</v>
      </c>
      <c r="C331" s="92">
        <v>0.82448036951501158</v>
      </c>
      <c r="D331" s="94">
        <v>362025316.45569617</v>
      </c>
      <c r="E331" s="91">
        <f>VLOOKUP(6412,收盤價!A:C,3,0)</f>
        <v>39.25</v>
      </c>
      <c r="F331" s="93">
        <v>14209493670.886074</v>
      </c>
      <c r="G331" s="93">
        <v>26655029000</v>
      </c>
      <c r="H331" s="117">
        <v>0.53</v>
      </c>
      <c r="I331" s="117">
        <v>15.07</v>
      </c>
    </row>
    <row r="332" spans="1:9">
      <c r="A332" s="116">
        <v>8110</v>
      </c>
      <c r="B332" s="91">
        <v>-0.09</v>
      </c>
      <c r="C332" s="92">
        <v>2.1739130434782608E-2</v>
      </c>
      <c r="D332" s="94">
        <v>500000000</v>
      </c>
      <c r="E332" s="91">
        <f>VLOOKUP(8110,收盤價!A:C,3,0)</f>
        <v>8.9</v>
      </c>
      <c r="F332" s="93">
        <v>4450000000</v>
      </c>
      <c r="G332" s="93">
        <v>8430870000</v>
      </c>
      <c r="H332" s="117">
        <v>0.53</v>
      </c>
      <c r="I332" s="117">
        <v>0</v>
      </c>
    </row>
    <row r="333" spans="1:9">
      <c r="A333" s="116">
        <v>3071</v>
      </c>
      <c r="B333" s="91">
        <v>0.02</v>
      </c>
      <c r="C333" s="92">
        <v>1</v>
      </c>
      <c r="D333" s="94">
        <v>200000000</v>
      </c>
      <c r="E333" s="91">
        <f>VLOOKUP(3071,收盤價!A:C,3,0)</f>
        <v>7</v>
      </c>
      <c r="F333" s="93">
        <v>1400000000</v>
      </c>
      <c r="G333" s="93">
        <v>2446068000</v>
      </c>
      <c r="H333" s="117">
        <v>0.56999999999999995</v>
      </c>
      <c r="I333" s="117">
        <v>87.5</v>
      </c>
    </row>
    <row r="334" spans="1:9">
      <c r="A334" s="116">
        <v>2499</v>
      </c>
      <c r="B334" s="91">
        <v>0.2</v>
      </c>
      <c r="C334" s="92">
        <v>1</v>
      </c>
      <c r="D334" s="94">
        <v>320000000</v>
      </c>
      <c r="E334" s="91">
        <f>VLOOKUP(2499,收盤價!A:C,3,0)</f>
        <v>19.350000000000001</v>
      </c>
      <c r="F334" s="93">
        <v>6192000000</v>
      </c>
      <c r="G334" s="93">
        <v>8880823000</v>
      </c>
      <c r="H334" s="117">
        <v>0.7</v>
      </c>
      <c r="I334" s="117">
        <v>24.19</v>
      </c>
    </row>
    <row r="335" spans="1:9">
      <c r="A335" s="116">
        <v>2371</v>
      </c>
      <c r="B335" s="91">
        <v>-0.25</v>
      </c>
      <c r="C335" s="92">
        <v>1</v>
      </c>
      <c r="D335" s="94">
        <v>2292000000</v>
      </c>
      <c r="E335" s="91">
        <f>VLOOKUP(2371,收盤價!A:C,3,0)</f>
        <v>6.1</v>
      </c>
      <c r="F335" s="93">
        <v>13981200000</v>
      </c>
      <c r="G335" s="93">
        <v>100784449000</v>
      </c>
      <c r="H335" s="117">
        <v>0.14000000000000001</v>
      </c>
      <c r="I335" s="117">
        <v>0</v>
      </c>
    </row>
    <row r="336" spans="1:9">
      <c r="A336" s="116">
        <v>1806</v>
      </c>
      <c r="B336" s="91">
        <v>-0.02</v>
      </c>
      <c r="C336" s="92">
        <v>0.10576923076923077</v>
      </c>
      <c r="D336" s="94">
        <v>500000000</v>
      </c>
      <c r="E336" s="91">
        <f>VLOOKUP(1806,收盤價!A:C,3,0)</f>
        <v>7.09</v>
      </c>
      <c r="F336" s="93">
        <v>3545000000</v>
      </c>
      <c r="G336" s="93">
        <v>6421972000</v>
      </c>
      <c r="H336" s="117">
        <v>0.55000000000000004</v>
      </c>
      <c r="I336" s="117">
        <v>0</v>
      </c>
    </row>
    <row r="337" spans="1:9">
      <c r="A337" s="116">
        <v>1310</v>
      </c>
      <c r="B337" s="91">
        <v>0.96</v>
      </c>
      <c r="C337" s="92">
        <v>1</v>
      </c>
      <c r="D337" s="94">
        <v>528125000</v>
      </c>
      <c r="E337" s="91">
        <f>VLOOKUP(1310,收盤價!A:C,3,0)</f>
        <v>14</v>
      </c>
      <c r="F337" s="93">
        <v>7393750000</v>
      </c>
      <c r="G337" s="93">
        <v>12944176000</v>
      </c>
      <c r="H337" s="117">
        <v>0.56999999999999995</v>
      </c>
      <c r="I337" s="117">
        <v>3.65</v>
      </c>
    </row>
    <row r="338" spans="1:9">
      <c r="A338" s="116">
        <v>2375</v>
      </c>
      <c r="B338" s="91">
        <v>0.17</v>
      </c>
      <c r="C338" s="92">
        <v>0.74193548387096775</v>
      </c>
      <c r="D338" s="94">
        <v>94117647.058823526</v>
      </c>
      <c r="E338" s="91">
        <f>VLOOKUP(2375,收盤價!A:C,3,0)</f>
        <v>15.2</v>
      </c>
      <c r="F338" s="93">
        <v>1430588235.2941175</v>
      </c>
      <c r="G338" s="93">
        <v>1466363000</v>
      </c>
      <c r="H338" s="117">
        <v>0.98</v>
      </c>
      <c r="I338" s="117">
        <v>30.13</v>
      </c>
    </row>
    <row r="339" spans="1:9">
      <c r="A339" s="116">
        <v>9927</v>
      </c>
      <c r="B339" s="91">
        <v>0.79</v>
      </c>
      <c r="C339" s="92">
        <v>1</v>
      </c>
      <c r="D339" s="94">
        <v>210126582.27848101</v>
      </c>
      <c r="E339" s="91">
        <f>VLOOKUP(9927,收盤價!A:C,3,0)</f>
        <v>30.7</v>
      </c>
      <c r="F339" s="93">
        <v>6450886075.9493666</v>
      </c>
      <c r="G339" s="93">
        <v>11020341000</v>
      </c>
      <c r="H339" s="117">
        <v>0.59</v>
      </c>
      <c r="I339" s="117">
        <v>9.7200000000000006</v>
      </c>
    </row>
    <row r="340" spans="1:9">
      <c r="A340" s="116">
        <v>2377</v>
      </c>
      <c r="B340" s="91">
        <v>0.66</v>
      </c>
      <c r="C340" s="92">
        <v>0.9375</v>
      </c>
      <c r="D340" s="94">
        <v>840909090.90909088</v>
      </c>
      <c r="E340" s="91">
        <f>VLOOKUP(2377,收盤價!A:C,3,0)</f>
        <v>32.75</v>
      </c>
      <c r="F340" s="93">
        <v>27539772727.272728</v>
      </c>
      <c r="G340" s="93">
        <v>82520206000</v>
      </c>
      <c r="H340" s="117">
        <v>0.33</v>
      </c>
      <c r="I340" s="117">
        <v>13.23</v>
      </c>
    </row>
    <row r="341" spans="1:9">
      <c r="A341" s="116">
        <v>2329</v>
      </c>
      <c r="B341" s="91">
        <v>0.32</v>
      </c>
      <c r="C341" s="92">
        <v>1</v>
      </c>
      <c r="D341" s="94">
        <v>800000000</v>
      </c>
      <c r="E341" s="91">
        <f>VLOOKUP(2329,收盤價!A:C,3,0)</f>
        <v>12.25</v>
      </c>
      <c r="F341" s="93">
        <v>9800000000</v>
      </c>
      <c r="G341" s="93">
        <v>15631651000</v>
      </c>
      <c r="H341" s="117">
        <v>0.63</v>
      </c>
      <c r="I341" s="117">
        <v>9.57</v>
      </c>
    </row>
    <row r="342" spans="1:9">
      <c r="A342" s="116">
        <v>5521</v>
      </c>
      <c r="B342" s="91">
        <v>0.17</v>
      </c>
      <c r="C342" s="92">
        <v>1</v>
      </c>
      <c r="D342" s="94">
        <v>352941176.47058821</v>
      </c>
      <c r="E342" s="91">
        <f>VLOOKUP(5521,收盤價!A:C,3,0)</f>
        <v>11.3</v>
      </c>
      <c r="F342" s="93">
        <v>3988235294.1176472</v>
      </c>
      <c r="G342" s="93">
        <v>6775512000</v>
      </c>
      <c r="H342" s="117">
        <v>0.59</v>
      </c>
      <c r="I342" s="117">
        <v>16.62</v>
      </c>
    </row>
    <row r="343" spans="1:9">
      <c r="A343" s="116">
        <v>2382</v>
      </c>
      <c r="B343" s="91">
        <v>0.88</v>
      </c>
      <c r="C343" s="92">
        <v>0.82200141944641592</v>
      </c>
      <c r="D343" s="94">
        <v>3832954545.4545455</v>
      </c>
      <c r="E343" s="91">
        <f>VLOOKUP(2382,收盤價!A:C,3,0)</f>
        <v>57.8</v>
      </c>
      <c r="F343" s="93">
        <v>221544772727.27271</v>
      </c>
      <c r="G343" s="93">
        <v>967581345000</v>
      </c>
      <c r="H343" s="117">
        <v>0.23</v>
      </c>
      <c r="I343" s="117">
        <v>19.98</v>
      </c>
    </row>
    <row r="344" spans="1:9">
      <c r="A344" s="116">
        <v>1532</v>
      </c>
      <c r="B344" s="91">
        <v>0.38</v>
      </c>
      <c r="C344" s="92">
        <v>0.97089947089947093</v>
      </c>
      <c r="D344" s="94">
        <v>389473684.21052629</v>
      </c>
      <c r="E344" s="91">
        <f>VLOOKUP(1532,收盤價!A:C,3,0)</f>
        <v>28.95</v>
      </c>
      <c r="F344" s="93">
        <v>11275263157.894735</v>
      </c>
      <c r="G344" s="93">
        <v>17743839000</v>
      </c>
      <c r="H344" s="117">
        <v>0.64</v>
      </c>
      <c r="I344" s="117">
        <v>19.62</v>
      </c>
    </row>
    <row r="345" spans="1:9">
      <c r="A345" s="116">
        <v>3044</v>
      </c>
      <c r="B345" s="91">
        <v>0.99</v>
      </c>
      <c r="C345" s="92">
        <v>0.6283018867924528</v>
      </c>
      <c r="D345" s="94">
        <v>527272727.27272725</v>
      </c>
      <c r="E345" s="91">
        <f>VLOOKUP(3044,收盤價!A:C,3,0)</f>
        <v>49.7</v>
      </c>
      <c r="F345" s="93">
        <v>26205454545.454544</v>
      </c>
      <c r="G345" s="93">
        <v>42912807000</v>
      </c>
      <c r="H345" s="117">
        <v>0.61</v>
      </c>
      <c r="I345" s="117">
        <v>19.98</v>
      </c>
    </row>
    <row r="346" spans="1:9">
      <c r="A346" s="116">
        <v>3149</v>
      </c>
      <c r="B346" s="91">
        <v>-11.07</v>
      </c>
      <c r="C346" s="92">
        <v>0.46992257296009532</v>
      </c>
      <c r="D346" s="94">
        <v>268744354.11020774</v>
      </c>
      <c r="E346" s="91">
        <f>VLOOKUP(3149,收盤價!A:C,3,0)</f>
        <v>15.15</v>
      </c>
      <c r="F346" s="93">
        <v>4071476964.7696471</v>
      </c>
      <c r="G346" s="93">
        <v>6164476000</v>
      </c>
      <c r="H346" s="117">
        <v>0.66</v>
      </c>
      <c r="I346" s="117">
        <v>0</v>
      </c>
    </row>
    <row r="347" spans="1:9">
      <c r="A347" s="116">
        <v>3561</v>
      </c>
      <c r="B347" s="91">
        <v>-0.82</v>
      </c>
      <c r="C347" s="92">
        <v>0.8647450110864745</v>
      </c>
      <c r="D347" s="94">
        <v>368292682.92682928</v>
      </c>
      <c r="E347" s="91">
        <f>VLOOKUP(3561,收盤價!A:C,3,0)</f>
        <v>17.649999999999999</v>
      </c>
      <c r="F347" s="93">
        <v>6500365853.658536</v>
      </c>
      <c r="G347" s="93">
        <v>9467083000</v>
      </c>
      <c r="H347" s="117">
        <v>0.69</v>
      </c>
      <c r="I347" s="117">
        <v>0</v>
      </c>
    </row>
    <row r="348" spans="1:9">
      <c r="A348" s="116">
        <v>2369</v>
      </c>
      <c r="B348" s="91">
        <v>-0.11</v>
      </c>
      <c r="C348" s="92">
        <v>1</v>
      </c>
      <c r="D348" s="94">
        <v>363636363.63636363</v>
      </c>
      <c r="E348" s="91">
        <f>VLOOKUP(2369,收盤價!A:C,3,0)</f>
        <v>10.25</v>
      </c>
      <c r="F348" s="93">
        <v>3727272727.272727</v>
      </c>
      <c r="G348" s="93">
        <v>5638378000</v>
      </c>
      <c r="H348" s="117">
        <v>0.66</v>
      </c>
      <c r="I348" s="117">
        <v>0</v>
      </c>
    </row>
    <row r="349" spans="1:9">
      <c r="A349" s="116">
        <v>3059</v>
      </c>
      <c r="B349" s="91">
        <v>0.15</v>
      </c>
      <c r="C349" s="92">
        <v>0.2558139534883721</v>
      </c>
      <c r="D349" s="94">
        <v>273333333.33333337</v>
      </c>
      <c r="E349" s="91">
        <f>VLOOKUP(3059,收盤價!A:C,3,0)</f>
        <v>28.3</v>
      </c>
      <c r="F349" s="93">
        <v>7735333333.3333349</v>
      </c>
      <c r="G349" s="93">
        <v>12573583000</v>
      </c>
      <c r="H349" s="117">
        <v>0.62</v>
      </c>
      <c r="I349" s="117">
        <v>184.38</v>
      </c>
    </row>
    <row r="350" spans="1:9">
      <c r="A350" s="116">
        <v>5009</v>
      </c>
      <c r="B350" s="91">
        <v>0.4</v>
      </c>
      <c r="C350" s="92">
        <v>1</v>
      </c>
      <c r="D350" s="94">
        <v>445000000</v>
      </c>
      <c r="E350" s="91">
        <f>VLOOKUP(5009,收盤價!A:C,3,0)</f>
        <v>17.649999999999999</v>
      </c>
      <c r="F350" s="93">
        <v>7854249999.999999</v>
      </c>
      <c r="G350" s="93">
        <v>12031147000</v>
      </c>
      <c r="H350" s="117">
        <v>0.65</v>
      </c>
      <c r="I350" s="117">
        <v>11.03</v>
      </c>
    </row>
    <row r="351" spans="1:9">
      <c r="A351" s="116">
        <v>5388</v>
      </c>
      <c r="B351" s="91">
        <v>1.43</v>
      </c>
      <c r="C351" s="92">
        <v>0.89939637826961771</v>
      </c>
      <c r="D351" s="94">
        <v>230069930.06993008</v>
      </c>
      <c r="E351" s="91">
        <f>VLOOKUP(5388,收盤價!A:C,3,0)</f>
        <v>77.599999999999994</v>
      </c>
      <c r="F351" s="93">
        <v>17853426573.426571</v>
      </c>
      <c r="G351" s="93">
        <v>30362132000</v>
      </c>
      <c r="H351" s="117">
        <v>0.59</v>
      </c>
      <c r="I351" s="117">
        <v>15.08</v>
      </c>
    </row>
    <row r="352" spans="1:9">
      <c r="A352" s="116">
        <v>2397</v>
      </c>
      <c r="B352" s="91">
        <v>0.79</v>
      </c>
      <c r="C352" s="92">
        <v>1</v>
      </c>
      <c r="D352" s="94">
        <v>113924050.63291138</v>
      </c>
      <c r="E352" s="91">
        <f>VLOOKUP(2397,收盤價!A:C,3,0)</f>
        <v>39.1</v>
      </c>
      <c r="F352" s="93">
        <v>4454430379.7468357</v>
      </c>
      <c r="G352" s="93">
        <v>2986798000</v>
      </c>
      <c r="H352" s="117">
        <v>1.49</v>
      </c>
      <c r="I352" s="117">
        <v>12.37</v>
      </c>
    </row>
    <row r="353" spans="1:9">
      <c r="A353" s="116">
        <v>2399</v>
      </c>
      <c r="B353" s="91">
        <v>-0.28000000000000003</v>
      </c>
      <c r="C353" s="92">
        <v>0.83606557377049184</v>
      </c>
      <c r="D353" s="94">
        <v>178571428.57142857</v>
      </c>
      <c r="E353" s="91">
        <f>VLOOKUP(2399,收盤價!A:C,3,0)</f>
        <v>7.21</v>
      </c>
      <c r="F353" s="93">
        <v>1287500000</v>
      </c>
      <c r="G353" s="93">
        <v>3034431000</v>
      </c>
      <c r="H353" s="117">
        <v>0.42</v>
      </c>
      <c r="I353" s="117">
        <v>0</v>
      </c>
    </row>
    <row r="354" spans="1:9">
      <c r="A354" s="116">
        <v>1417</v>
      </c>
      <c r="B354" s="91">
        <v>-0.24</v>
      </c>
      <c r="C354" s="92">
        <v>1</v>
      </c>
      <c r="D354" s="94">
        <v>375000000</v>
      </c>
      <c r="E354" s="91">
        <f>VLOOKUP(1417,收盤價!A:C,3,0)</f>
        <v>6.11</v>
      </c>
      <c r="F354" s="93">
        <v>2291250000</v>
      </c>
      <c r="G354" s="93">
        <v>3495310000</v>
      </c>
      <c r="H354" s="117">
        <v>0.66</v>
      </c>
      <c r="I354" s="117">
        <v>0</v>
      </c>
    </row>
    <row r="355" spans="1:9">
      <c r="A355" s="116">
        <v>2380</v>
      </c>
      <c r="B355" s="91">
        <v>-0.25</v>
      </c>
      <c r="C355" s="92">
        <v>0.85321100917431192</v>
      </c>
      <c r="D355" s="94">
        <v>216000000</v>
      </c>
      <c r="E355" s="91">
        <f>VLOOKUP(2380,收盤價!A:C,3,0)</f>
        <v>7.43</v>
      </c>
      <c r="F355" s="93">
        <v>1604880000</v>
      </c>
      <c r="G355" s="93">
        <v>2585086000</v>
      </c>
      <c r="H355" s="117">
        <v>0.62</v>
      </c>
      <c r="I355" s="117">
        <v>0</v>
      </c>
    </row>
    <row r="356" spans="1:9">
      <c r="A356" s="116">
        <v>5515</v>
      </c>
      <c r="B356" s="91">
        <v>0.1</v>
      </c>
      <c r="C356" s="92">
        <v>1</v>
      </c>
      <c r="D356" s="94">
        <v>340000000</v>
      </c>
      <c r="E356" s="91">
        <f>VLOOKUP(5515,收盤價!A:C,3,0)</f>
        <v>9.8800000000000008</v>
      </c>
      <c r="F356" s="93">
        <v>3359200000.0000005</v>
      </c>
      <c r="G356" s="93">
        <v>5545844000</v>
      </c>
      <c r="H356" s="117">
        <v>0.61</v>
      </c>
      <c r="I356" s="117">
        <v>24.7</v>
      </c>
    </row>
    <row r="357" spans="1:9">
      <c r="A357" s="116">
        <v>1709</v>
      </c>
      <c r="B357" s="91">
        <v>0.51</v>
      </c>
      <c r="C357" s="92">
        <v>1</v>
      </c>
      <c r="D357" s="94">
        <v>433333333.33333331</v>
      </c>
      <c r="E357" s="91">
        <f>VLOOKUP(1709,收盤價!A:C,3,0)</f>
        <v>15.6</v>
      </c>
      <c r="F357" s="93">
        <v>6760000000</v>
      </c>
      <c r="G357" s="93">
        <v>10128111000</v>
      </c>
      <c r="H357" s="117">
        <v>0.67</v>
      </c>
      <c r="I357" s="117">
        <v>7.65</v>
      </c>
    </row>
    <row r="358" spans="1:9">
      <c r="A358" s="116">
        <v>2385</v>
      </c>
      <c r="B358" s="91">
        <v>1.57</v>
      </c>
      <c r="C358" s="92">
        <v>0.67501527183872934</v>
      </c>
      <c r="D358" s="94">
        <v>659235668.78980887</v>
      </c>
      <c r="E358" s="91">
        <f>VLOOKUP(2385,收盤價!A:C,3,0)</f>
        <v>82.2</v>
      </c>
      <c r="F358" s="93">
        <v>54189171974.522293</v>
      </c>
      <c r="G358" s="93">
        <v>83829303000</v>
      </c>
      <c r="H358" s="117">
        <v>0.65</v>
      </c>
      <c r="I358" s="117">
        <v>19.39</v>
      </c>
    </row>
    <row r="359" spans="1:9">
      <c r="A359" s="116">
        <v>2408</v>
      </c>
      <c r="B359" s="91">
        <v>1.75</v>
      </c>
      <c r="C359" s="92">
        <v>0.77389984825493174</v>
      </c>
      <c r="D359" s="94">
        <v>2430857142.8571429</v>
      </c>
      <c r="E359" s="91">
        <f>VLOOKUP(2408,收盤價!A:C,3,0)</f>
        <v>39.4</v>
      </c>
      <c r="F359" s="93">
        <v>95775771428.571426</v>
      </c>
      <c r="G359" s="93">
        <v>46957019000</v>
      </c>
      <c r="H359" s="117">
        <v>2.04</v>
      </c>
      <c r="I359" s="117">
        <v>7.27</v>
      </c>
    </row>
    <row r="360" spans="1:9">
      <c r="A360" s="116">
        <v>2409</v>
      </c>
      <c r="B360" s="91">
        <v>0.47</v>
      </c>
      <c r="C360" s="92">
        <v>1</v>
      </c>
      <c r="D360" s="94">
        <v>9563829787.2340431</v>
      </c>
      <c r="E360" s="91">
        <f>VLOOKUP(2409,收盤價!A:C,3,0)</f>
        <v>9.8000000000000007</v>
      </c>
      <c r="F360" s="93">
        <v>93725531914.893631</v>
      </c>
      <c r="G360" s="93">
        <v>386558569000</v>
      </c>
      <c r="H360" s="117">
        <v>0.24</v>
      </c>
      <c r="I360" s="117">
        <v>5.21</v>
      </c>
    </row>
    <row r="361" spans="1:9">
      <c r="A361" s="116">
        <v>2412</v>
      </c>
      <c r="B361" s="91">
        <v>1.44</v>
      </c>
      <c r="C361" s="92">
        <v>0.94942464736451371</v>
      </c>
      <c r="D361" s="94">
        <v>7731944444.4444447</v>
      </c>
      <c r="E361" s="91">
        <f>VLOOKUP(2412,收盤價!A:C,3,0)</f>
        <v>99.9</v>
      </c>
      <c r="F361" s="93">
        <v>772421250000.00012</v>
      </c>
      <c r="G361" s="93">
        <v>229710855000</v>
      </c>
      <c r="H361" s="117">
        <v>3.36</v>
      </c>
      <c r="I361" s="117">
        <v>18.27</v>
      </c>
    </row>
    <row r="362" spans="1:9">
      <c r="A362" s="116">
        <v>2413</v>
      </c>
      <c r="B362" s="91">
        <v>0.16</v>
      </c>
      <c r="C362" s="92">
        <v>1</v>
      </c>
      <c r="D362" s="94">
        <v>125000000</v>
      </c>
      <c r="E362" s="91">
        <f>VLOOKUP(2413,收盤價!A:C,3,0)</f>
        <v>12.1</v>
      </c>
      <c r="F362" s="93">
        <v>1512500000</v>
      </c>
      <c r="G362" s="93">
        <v>4353141000</v>
      </c>
      <c r="H362" s="117">
        <v>0.35</v>
      </c>
      <c r="I362" s="117">
        <v>18.91</v>
      </c>
    </row>
    <row r="363" spans="1:9">
      <c r="A363" s="116">
        <v>2414</v>
      </c>
      <c r="B363" s="91">
        <v>0.25</v>
      </c>
      <c r="C363" s="92">
        <v>1</v>
      </c>
      <c r="D363" s="94">
        <v>164000000</v>
      </c>
      <c r="E363" s="91">
        <f>VLOOKUP(2414,收盤價!A:C,3,0)</f>
        <v>16.45</v>
      </c>
      <c r="F363" s="93">
        <v>2697800000</v>
      </c>
      <c r="G363" s="93">
        <v>15393449000</v>
      </c>
      <c r="H363" s="117">
        <v>0.18</v>
      </c>
      <c r="I363" s="117">
        <v>16.45</v>
      </c>
    </row>
    <row r="364" spans="1:9">
      <c r="A364" s="116">
        <v>2415</v>
      </c>
      <c r="B364" s="91">
        <v>0.22</v>
      </c>
      <c r="C364" s="92">
        <v>1</v>
      </c>
      <c r="D364" s="94">
        <v>90909090.909090906</v>
      </c>
      <c r="E364" s="91">
        <f>VLOOKUP(2415,收盤價!A:C,3,0)</f>
        <v>13.9</v>
      </c>
      <c r="F364" s="93">
        <v>1263636363.6363637</v>
      </c>
      <c r="G364" s="93">
        <v>2114874000</v>
      </c>
      <c r="H364" s="117">
        <v>0.6</v>
      </c>
      <c r="I364" s="117">
        <v>15.8</v>
      </c>
    </row>
    <row r="365" spans="1:9">
      <c r="A365" s="116">
        <v>6443</v>
      </c>
      <c r="B365" s="91">
        <v>-0.22</v>
      </c>
      <c r="C365" s="92">
        <v>0</v>
      </c>
      <c r="D365" s="94">
        <v>309090909.09090906</v>
      </c>
      <c r="E365" s="91">
        <f>VLOOKUP(6443,收盤價!A:C,3,0)</f>
        <v>17.600000000000001</v>
      </c>
      <c r="F365" s="93">
        <v>5440000000</v>
      </c>
      <c r="G365" s="93">
        <v>6731745000</v>
      </c>
      <c r="H365" s="117">
        <v>0.81</v>
      </c>
      <c r="I365" s="117">
        <v>0</v>
      </c>
    </row>
    <row r="366" spans="1:9">
      <c r="A366" s="116">
        <v>1902</v>
      </c>
      <c r="B366" s="91">
        <v>0.18</v>
      </c>
      <c r="C366" s="92">
        <v>1</v>
      </c>
      <c r="D366" s="94">
        <v>411111111.1111111</v>
      </c>
      <c r="E366" s="91">
        <f>VLOOKUP(1902,收盤價!A:C,3,0)</f>
        <v>10.85</v>
      </c>
      <c r="F366" s="93">
        <v>4460555555.5555553</v>
      </c>
      <c r="G366" s="93">
        <v>6823808000</v>
      </c>
      <c r="H366" s="117">
        <v>0.65</v>
      </c>
      <c r="I366" s="117">
        <v>15.07</v>
      </c>
    </row>
    <row r="367" spans="1:9">
      <c r="A367" s="116">
        <v>2420</v>
      </c>
      <c r="B367" s="91">
        <v>0.77</v>
      </c>
      <c r="C367" s="92">
        <v>0.7640449438202247</v>
      </c>
      <c r="D367" s="94">
        <v>153246753.24675325</v>
      </c>
      <c r="E367" s="91">
        <f>VLOOKUP(2420,收盤價!A:C,3,0)</f>
        <v>38.75</v>
      </c>
      <c r="F367" s="93">
        <v>5938311688.3116884</v>
      </c>
      <c r="G367" s="93">
        <v>3298392000</v>
      </c>
      <c r="H367" s="117">
        <v>1.8</v>
      </c>
      <c r="I367" s="117">
        <v>16.47</v>
      </c>
    </row>
    <row r="368" spans="1:9">
      <c r="A368" s="116">
        <v>2492</v>
      </c>
      <c r="B368" s="91">
        <v>0.46</v>
      </c>
      <c r="C368" s="92">
        <v>0.51777777777777778</v>
      </c>
      <c r="D368" s="94">
        <v>676086956.52173913</v>
      </c>
      <c r="E368" s="91">
        <f>VLOOKUP(2492,收盤價!A:C,3,0)</f>
        <v>15.8</v>
      </c>
      <c r="F368" s="93">
        <v>10682173913.043478</v>
      </c>
      <c r="G368" s="93">
        <v>15423332000</v>
      </c>
      <c r="H368" s="117">
        <v>0.69</v>
      </c>
      <c r="I368" s="117">
        <v>16.579999999999998</v>
      </c>
    </row>
    <row r="369" spans="1:9">
      <c r="A369" s="116">
        <v>2423</v>
      </c>
      <c r="B369" s="91">
        <v>0.31</v>
      </c>
      <c r="C369" s="92">
        <v>0.97701149425287359</v>
      </c>
      <c r="D369" s="94">
        <v>129032258.06451613</v>
      </c>
      <c r="E369" s="91">
        <f>VLOOKUP(2423,收盤價!A:C,3,0)</f>
        <v>17.05</v>
      </c>
      <c r="F369" s="93">
        <v>2200000000</v>
      </c>
      <c r="G369" s="93">
        <v>2111840000</v>
      </c>
      <c r="H369" s="117">
        <v>1.04</v>
      </c>
      <c r="I369" s="117">
        <v>14.07</v>
      </c>
    </row>
    <row r="370" spans="1:9">
      <c r="A370" s="116">
        <v>2424</v>
      </c>
      <c r="B370" s="91">
        <v>-0.4</v>
      </c>
      <c r="C370" s="92">
        <v>0.59090909090909094</v>
      </c>
      <c r="D370" s="94">
        <v>30000000</v>
      </c>
      <c r="E370" s="91">
        <f>VLOOKUP(2424,收盤價!A:C,3,0)</f>
        <v>0</v>
      </c>
      <c r="F370" s="93">
        <v>0</v>
      </c>
      <c r="G370" s="93">
        <v>5852000</v>
      </c>
      <c r="H370" s="117">
        <v>0</v>
      </c>
      <c r="I370" s="117">
        <v>0</v>
      </c>
    </row>
    <row r="371" spans="1:9">
      <c r="A371" s="116">
        <v>2425</v>
      </c>
      <c r="B371" s="91">
        <v>0.04</v>
      </c>
      <c r="C371" s="92">
        <v>1</v>
      </c>
      <c r="D371" s="94">
        <v>100000000</v>
      </c>
      <c r="E371" s="91">
        <f>VLOOKUP(2425,收盤價!A:C,3,0)</f>
        <v>15.3</v>
      </c>
      <c r="F371" s="93">
        <v>1530000000</v>
      </c>
      <c r="G371" s="93">
        <v>6759678000</v>
      </c>
      <c r="H371" s="117">
        <v>0.23</v>
      </c>
      <c r="I371" s="117">
        <v>95.62</v>
      </c>
    </row>
    <row r="372" spans="1:9">
      <c r="A372" s="116">
        <v>3698</v>
      </c>
      <c r="B372" s="91">
        <v>7.0000000000000007E-2</v>
      </c>
      <c r="C372" s="92">
        <v>0.96116504854368934</v>
      </c>
      <c r="D372" s="94">
        <v>614285714.28571427</v>
      </c>
      <c r="E372" s="91">
        <f>VLOOKUP(3698,收盤價!A:C,3,0)</f>
        <v>15.9</v>
      </c>
      <c r="F372" s="93">
        <v>9767142857.1428566</v>
      </c>
      <c r="G372" s="93">
        <v>14014025000</v>
      </c>
      <c r="H372" s="117">
        <v>0.7</v>
      </c>
      <c r="I372" s="117">
        <v>59.08</v>
      </c>
    </row>
    <row r="373" spans="1:9">
      <c r="A373" s="116">
        <v>1604</v>
      </c>
      <c r="B373" s="91">
        <v>0.38</v>
      </c>
      <c r="C373" s="92">
        <v>0.39941690962099125</v>
      </c>
      <c r="D373" s="94">
        <v>510526315.78947365</v>
      </c>
      <c r="E373" s="91">
        <f>VLOOKUP(1604,收盤價!A:C,3,0)</f>
        <v>12.7</v>
      </c>
      <c r="F373" s="93">
        <v>6483684210.5263147</v>
      </c>
      <c r="G373" s="93">
        <v>10026371000</v>
      </c>
      <c r="H373" s="117">
        <v>0.65</v>
      </c>
      <c r="I373" s="117">
        <v>20.92</v>
      </c>
    </row>
    <row r="374" spans="1:9">
      <c r="A374" s="116">
        <v>2428</v>
      </c>
      <c r="B374" s="91">
        <v>1.05</v>
      </c>
      <c r="C374" s="92">
        <v>0.93772893772893773</v>
      </c>
      <c r="D374" s="94">
        <v>127619047.61904761</v>
      </c>
      <c r="E374" s="91">
        <f>VLOOKUP(2428,收盤價!A:C,3,0)</f>
        <v>43.85</v>
      </c>
      <c r="F374" s="93">
        <v>5596095238.0952377</v>
      </c>
      <c r="G374" s="93">
        <v>4909622000</v>
      </c>
      <c r="H374" s="117">
        <v>1.1399999999999999</v>
      </c>
      <c r="I374" s="117">
        <v>11.13</v>
      </c>
    </row>
    <row r="375" spans="1:9">
      <c r="A375" s="116">
        <v>2429</v>
      </c>
      <c r="B375" s="91">
        <v>-0.1</v>
      </c>
      <c r="C375" s="92">
        <v>1</v>
      </c>
      <c r="D375" s="94">
        <v>40000000</v>
      </c>
      <c r="E375" s="91">
        <f>VLOOKUP(2429,收盤價!A:C,3,0)</f>
        <v>0</v>
      </c>
      <c r="F375" s="93">
        <v>0</v>
      </c>
      <c r="G375" s="93">
        <v>736846000</v>
      </c>
      <c r="H375" s="117">
        <v>0</v>
      </c>
      <c r="I375" s="117">
        <v>0</v>
      </c>
    </row>
    <row r="376" spans="1:9">
      <c r="A376" s="116">
        <v>2430</v>
      </c>
      <c r="B376" s="91">
        <v>0.19</v>
      </c>
      <c r="C376" s="92">
        <v>1</v>
      </c>
      <c r="D376" s="94">
        <v>89473684.210526317</v>
      </c>
      <c r="E376" s="91">
        <f>VLOOKUP(2430,收盤價!A:C,3,0)</f>
        <v>20</v>
      </c>
      <c r="F376" s="93">
        <v>1789473684.2105265</v>
      </c>
      <c r="G376" s="93">
        <v>23995845000</v>
      </c>
      <c r="H376" s="117">
        <v>7.0000000000000007E-2</v>
      </c>
      <c r="I376" s="117">
        <v>26.32</v>
      </c>
    </row>
    <row r="377" spans="1:9">
      <c r="A377" s="116">
        <v>2431</v>
      </c>
      <c r="B377" s="91">
        <v>0.03</v>
      </c>
      <c r="C377" s="92">
        <v>0.54054054054054057</v>
      </c>
      <c r="D377" s="94">
        <v>100000000</v>
      </c>
      <c r="E377" s="91">
        <f>VLOOKUP(2431,收盤價!A:C,3,0)</f>
        <v>16.149999999999999</v>
      </c>
      <c r="F377" s="93">
        <v>1614999999.9999998</v>
      </c>
      <c r="G377" s="93">
        <v>4181789000</v>
      </c>
      <c r="H377" s="117">
        <v>0.39</v>
      </c>
      <c r="I377" s="117">
        <v>248.98</v>
      </c>
    </row>
    <row r="378" spans="1:9">
      <c r="A378" s="116">
        <v>2433</v>
      </c>
      <c r="B378" s="91">
        <v>0.92</v>
      </c>
      <c r="C378" s="92">
        <v>0.84279475982532748</v>
      </c>
      <c r="D378" s="94">
        <v>143478260.86956522</v>
      </c>
      <c r="E378" s="91">
        <f>VLOOKUP(2433,收盤價!A:C,3,0)</f>
        <v>46.45</v>
      </c>
      <c r="F378" s="93">
        <v>6664565217.391305</v>
      </c>
      <c r="G378" s="93">
        <v>2745474000</v>
      </c>
      <c r="H378" s="117">
        <v>2.4300000000000002</v>
      </c>
      <c r="I378" s="117">
        <v>14.98</v>
      </c>
    </row>
    <row r="379" spans="1:9">
      <c r="A379" s="116">
        <v>2434</v>
      </c>
      <c r="B379" s="91">
        <v>-0.44</v>
      </c>
      <c r="C379" s="92">
        <v>0.94680851063829785</v>
      </c>
      <c r="D379" s="94">
        <v>111363636.36363636</v>
      </c>
      <c r="E379" s="91">
        <f>VLOOKUP(2434,收盤價!A:C,3,0)</f>
        <v>6.3</v>
      </c>
      <c r="F379" s="93">
        <v>701590909.090909</v>
      </c>
      <c r="G379" s="93">
        <v>224386000</v>
      </c>
      <c r="H379" s="117">
        <v>3.13</v>
      </c>
      <c r="I379" s="117">
        <v>0</v>
      </c>
    </row>
    <row r="380" spans="1:9">
      <c r="A380" s="116">
        <v>2342</v>
      </c>
      <c r="B380" s="91">
        <v>-1.05</v>
      </c>
      <c r="C380" s="92">
        <v>0.43125734430082258</v>
      </c>
      <c r="D380" s="94">
        <v>373333333.33333331</v>
      </c>
      <c r="E380" s="91">
        <f>VLOOKUP(2342,收盤價!A:C,3,0)</f>
        <v>2.41</v>
      </c>
      <c r="F380" s="93">
        <v>899733333.33333337</v>
      </c>
      <c r="G380" s="93">
        <v>1439932000</v>
      </c>
      <c r="H380" s="117">
        <v>0.62</v>
      </c>
      <c r="I380" s="117">
        <v>0</v>
      </c>
    </row>
    <row r="381" spans="1:9">
      <c r="A381" s="116">
        <v>2437</v>
      </c>
      <c r="B381" s="91">
        <v>1.54</v>
      </c>
      <c r="C381" s="92">
        <v>1</v>
      </c>
      <c r="D381" s="94">
        <v>66233766.233766235</v>
      </c>
      <c r="E381" s="91">
        <f>VLOOKUP(2437,收盤價!A:C,3,0)</f>
        <v>49.35</v>
      </c>
      <c r="F381" s="93">
        <v>3268636363.636364</v>
      </c>
      <c r="G381" s="93">
        <v>4044679000</v>
      </c>
      <c r="H381" s="117">
        <v>0.81</v>
      </c>
      <c r="I381" s="117">
        <v>8.01</v>
      </c>
    </row>
    <row r="382" spans="1:9">
      <c r="A382" s="116">
        <v>2438</v>
      </c>
      <c r="B382" s="91">
        <v>-0.12</v>
      </c>
      <c r="C382" s="92">
        <v>1</v>
      </c>
      <c r="D382" s="94">
        <v>75000000</v>
      </c>
      <c r="E382" s="91">
        <f>VLOOKUP(2438,收盤價!A:C,3,0)</f>
        <v>14.4</v>
      </c>
      <c r="F382" s="93">
        <v>1080000000</v>
      </c>
      <c r="G382" s="93">
        <v>550131000</v>
      </c>
      <c r="H382" s="117">
        <v>1.96</v>
      </c>
      <c r="I382" s="117">
        <v>0</v>
      </c>
    </row>
    <row r="383" spans="1:9">
      <c r="A383" s="116">
        <v>2439</v>
      </c>
      <c r="B383" s="91">
        <v>0.15</v>
      </c>
      <c r="C383" s="92">
        <v>1</v>
      </c>
      <c r="D383" s="94">
        <v>186666666.66666669</v>
      </c>
      <c r="E383" s="91">
        <f>VLOOKUP(2439,收盤價!A:C,3,0)</f>
        <v>66.2</v>
      </c>
      <c r="F383" s="93">
        <v>12357333333.333336</v>
      </c>
      <c r="G383" s="93">
        <v>11824007000</v>
      </c>
      <c r="H383" s="117">
        <v>1.05</v>
      </c>
      <c r="I383" s="117">
        <v>110.33</v>
      </c>
    </row>
    <row r="384" spans="1:9">
      <c r="A384" s="116">
        <v>2440</v>
      </c>
      <c r="B384" s="91">
        <v>0.13</v>
      </c>
      <c r="C384" s="92">
        <v>1</v>
      </c>
      <c r="D384" s="94">
        <v>138461538.46153846</v>
      </c>
      <c r="E384" s="91">
        <f>VLOOKUP(2440,收盤價!A:C,3,0)</f>
        <v>8.08</v>
      </c>
      <c r="F384" s="93">
        <v>1118769230.7692308</v>
      </c>
      <c r="G384" s="93">
        <v>2486867000</v>
      </c>
      <c r="H384" s="117">
        <v>0.45</v>
      </c>
      <c r="I384" s="117">
        <v>15.54</v>
      </c>
    </row>
    <row r="385" spans="1:9">
      <c r="A385" s="116">
        <v>8046</v>
      </c>
      <c r="B385" s="91">
        <v>-0.05</v>
      </c>
      <c r="C385" s="92">
        <v>5.0847457627118647E-2</v>
      </c>
      <c r="D385" s="94">
        <v>640000000</v>
      </c>
      <c r="E385" s="91">
        <f>VLOOKUP(8046,收盤價!A:C,3,0)</f>
        <v>33.15</v>
      </c>
      <c r="F385" s="93">
        <v>21216000000</v>
      </c>
      <c r="G385" s="93">
        <v>31722486000</v>
      </c>
      <c r="H385" s="117">
        <v>0.67</v>
      </c>
      <c r="I385" s="117">
        <v>0</v>
      </c>
    </row>
    <row r="386" spans="1:9">
      <c r="A386" s="116">
        <v>2442</v>
      </c>
      <c r="B386" s="91">
        <v>0.09</v>
      </c>
      <c r="C386" s="92">
        <v>0.33898305084745761</v>
      </c>
      <c r="D386" s="94">
        <v>188888888.8888889</v>
      </c>
      <c r="E386" s="91">
        <f>VLOOKUP(2442,收盤價!A:C,3,0)</f>
        <v>7.25</v>
      </c>
      <c r="F386" s="93">
        <v>1369444444.4444444</v>
      </c>
      <c r="G386" s="93">
        <v>1198489000</v>
      </c>
      <c r="H386" s="117">
        <v>1.1399999999999999</v>
      </c>
      <c r="I386" s="117">
        <v>59.41</v>
      </c>
    </row>
    <row r="387" spans="1:9">
      <c r="A387" s="116">
        <v>2443</v>
      </c>
      <c r="B387" s="91">
        <v>-0.28999999999999998</v>
      </c>
      <c r="C387" s="92">
        <v>1</v>
      </c>
      <c r="D387" s="94">
        <v>148275862.06896552</v>
      </c>
      <c r="E387" s="91">
        <f>VLOOKUP(2443,收盤價!A:C,3,0)</f>
        <v>7.84</v>
      </c>
      <c r="F387" s="93">
        <v>1162482758.6206896</v>
      </c>
      <c r="G387" s="93">
        <v>411624000</v>
      </c>
      <c r="H387" s="117">
        <v>2.82</v>
      </c>
      <c r="I387" s="117">
        <v>0</v>
      </c>
    </row>
    <row r="388" spans="1:9">
      <c r="A388" s="116">
        <v>2444</v>
      </c>
      <c r="B388" s="91">
        <v>-1.32</v>
      </c>
      <c r="C388" s="92">
        <v>0.88888888888888884</v>
      </c>
      <c r="D388" s="94">
        <v>85606060.606060609</v>
      </c>
      <c r="E388" s="91">
        <f>VLOOKUP(2444,收盤價!A:C,3,0)</f>
        <v>9.0399999999999991</v>
      </c>
      <c r="F388" s="93">
        <v>773878787.87878788</v>
      </c>
      <c r="G388" s="93">
        <v>1686584000</v>
      </c>
      <c r="H388" s="117">
        <v>0.46</v>
      </c>
      <c r="I388" s="117">
        <v>0</v>
      </c>
    </row>
    <row r="389" spans="1:9">
      <c r="A389" s="116">
        <v>2448</v>
      </c>
      <c r="B389" s="91">
        <v>-0.11</v>
      </c>
      <c r="C389" s="92">
        <v>0</v>
      </c>
      <c r="D389" s="94">
        <v>1109090909.090909</v>
      </c>
      <c r="E389" s="91">
        <f>VLOOKUP(2448,收盤價!A:C,3,0)</f>
        <v>27.8</v>
      </c>
      <c r="F389" s="93">
        <v>30832727272.727272</v>
      </c>
      <c r="G389" s="93">
        <v>25431300000</v>
      </c>
      <c r="H389" s="117">
        <v>1.21</v>
      </c>
      <c r="I389" s="117">
        <v>0</v>
      </c>
    </row>
    <row r="390" spans="1:9">
      <c r="A390" s="116">
        <v>2449</v>
      </c>
      <c r="B390" s="91">
        <v>0.56999999999999995</v>
      </c>
      <c r="C390" s="92">
        <v>0.87021110242376853</v>
      </c>
      <c r="D390" s="94">
        <v>1192982456.1403511</v>
      </c>
      <c r="E390" s="91">
        <f>VLOOKUP(2449,收盤價!A:C,3,0)</f>
        <v>21.9</v>
      </c>
      <c r="F390" s="93">
        <v>26126315789.473686</v>
      </c>
      <c r="G390" s="93">
        <v>17043035000</v>
      </c>
      <c r="H390" s="117">
        <v>1.53</v>
      </c>
      <c r="I390" s="117">
        <v>11.04</v>
      </c>
    </row>
    <row r="391" spans="1:9">
      <c r="A391" s="116">
        <v>1451</v>
      </c>
      <c r="B391" s="91">
        <v>0.12</v>
      </c>
      <c r="C391" s="92">
        <v>0.74736842105263157</v>
      </c>
      <c r="D391" s="94">
        <v>383333333.33333337</v>
      </c>
      <c r="E391" s="91">
        <f>VLOOKUP(1451,收盤價!A:C,3,0)</f>
        <v>21.9</v>
      </c>
      <c r="F391" s="93">
        <v>8395000000</v>
      </c>
      <c r="G391" s="93">
        <v>12782289000</v>
      </c>
      <c r="H391" s="117">
        <v>0.66</v>
      </c>
      <c r="I391" s="117">
        <v>61.05</v>
      </c>
    </row>
    <row r="392" spans="1:9">
      <c r="A392" s="116">
        <v>1513</v>
      </c>
      <c r="B392" s="91">
        <v>0.25</v>
      </c>
      <c r="C392" s="92">
        <v>0.69736842105263153</v>
      </c>
      <c r="D392" s="94">
        <v>424000000</v>
      </c>
      <c r="E392" s="91">
        <f>VLOOKUP(1513,收盤價!A:C,3,0)</f>
        <v>17.649999999999999</v>
      </c>
      <c r="F392" s="93">
        <v>7483599999.999999</v>
      </c>
      <c r="G392" s="93">
        <v>10815869000</v>
      </c>
      <c r="H392" s="117">
        <v>0.69</v>
      </c>
      <c r="I392" s="117">
        <v>25.31</v>
      </c>
    </row>
    <row r="393" spans="1:9">
      <c r="A393" s="116">
        <v>2453</v>
      </c>
      <c r="B393" s="91">
        <v>0.18</v>
      </c>
      <c r="C393" s="92">
        <v>0.82608695652173914</v>
      </c>
      <c r="D393" s="94">
        <v>100000000</v>
      </c>
      <c r="E393" s="91">
        <f>VLOOKUP(2453,收盤價!A:C,3,0)</f>
        <v>11.8</v>
      </c>
      <c r="F393" s="93">
        <v>1180000000</v>
      </c>
      <c r="G393" s="93">
        <v>3927435000</v>
      </c>
      <c r="H393" s="117">
        <v>0.3</v>
      </c>
      <c r="I393" s="117">
        <v>19.84</v>
      </c>
    </row>
    <row r="394" spans="1:9">
      <c r="A394" s="116">
        <v>2454</v>
      </c>
      <c r="B394" s="91">
        <v>4.0599999999999996</v>
      </c>
      <c r="C394" s="92">
        <v>0.92553034767236297</v>
      </c>
      <c r="D394" s="94">
        <v>1564039408.8669953</v>
      </c>
      <c r="E394" s="91">
        <f>VLOOKUP(2454,收盤價!A:C,3,0)</f>
        <v>267</v>
      </c>
      <c r="F394" s="93">
        <v>417598522167.48773</v>
      </c>
      <c r="G394" s="93">
        <v>205500019000</v>
      </c>
      <c r="H394" s="117">
        <v>2.0299999999999998</v>
      </c>
      <c r="I394" s="117">
        <v>17.760000000000002</v>
      </c>
    </row>
    <row r="395" spans="1:9">
      <c r="A395" s="116">
        <v>2109</v>
      </c>
      <c r="B395" s="91">
        <v>0.12</v>
      </c>
      <c r="C395" s="92">
        <v>1</v>
      </c>
      <c r="D395" s="94">
        <v>333333333.33333337</v>
      </c>
      <c r="E395" s="91">
        <f>VLOOKUP(2109,收盤價!A:C,3,0)</f>
        <v>13.1</v>
      </c>
      <c r="F395" s="93">
        <v>4366666666.666667</v>
      </c>
      <c r="G395" s="93">
        <v>6924274000</v>
      </c>
      <c r="H395" s="117">
        <v>0.63</v>
      </c>
      <c r="I395" s="117">
        <v>27.29</v>
      </c>
    </row>
    <row r="396" spans="1:9">
      <c r="A396" s="116">
        <v>2456</v>
      </c>
      <c r="B396" s="91">
        <v>1.06</v>
      </c>
      <c r="C396" s="92">
        <v>0.93818181818181823</v>
      </c>
      <c r="D396" s="94">
        <v>126415094.33962263</v>
      </c>
      <c r="E396" s="91">
        <f>VLOOKUP(2456,收盤價!A:C,3,0)</f>
        <v>47.55</v>
      </c>
      <c r="F396" s="93">
        <v>6011037735.8490562</v>
      </c>
      <c r="G396" s="93">
        <v>4546708000</v>
      </c>
      <c r="H396" s="117">
        <v>1.32</v>
      </c>
      <c r="I396" s="117">
        <v>11.95</v>
      </c>
    </row>
    <row r="397" spans="1:9">
      <c r="A397" s="116">
        <v>2393</v>
      </c>
      <c r="B397" s="91">
        <v>0.74</v>
      </c>
      <c r="C397" s="92">
        <v>0.95776255707762559</v>
      </c>
      <c r="D397" s="94">
        <v>425675675.67567569</v>
      </c>
      <c r="E397" s="91">
        <f>VLOOKUP(2393,收盤價!A:C,3,0)</f>
        <v>48.25</v>
      </c>
      <c r="F397" s="93">
        <v>20538851351.351353</v>
      </c>
      <c r="G397" s="93">
        <v>30109869000</v>
      </c>
      <c r="H397" s="117">
        <v>0.68</v>
      </c>
      <c r="I397" s="117">
        <v>17.02</v>
      </c>
    </row>
    <row r="398" spans="1:9">
      <c r="A398" s="116">
        <v>2427</v>
      </c>
      <c r="B398" s="91">
        <v>0.03</v>
      </c>
      <c r="C398" s="92">
        <v>1</v>
      </c>
      <c r="D398" s="94">
        <v>200000000</v>
      </c>
      <c r="E398" s="91">
        <f>VLOOKUP(2427,收盤價!A:C,3,0)</f>
        <v>6.61</v>
      </c>
      <c r="F398" s="93">
        <v>1322000000</v>
      </c>
      <c r="G398" s="93">
        <v>1972192000</v>
      </c>
      <c r="H398" s="117">
        <v>0.67</v>
      </c>
      <c r="I398" s="117">
        <v>55.08</v>
      </c>
    </row>
    <row r="399" spans="1:9">
      <c r="A399" s="116">
        <v>2459</v>
      </c>
      <c r="B399" s="91">
        <v>1</v>
      </c>
      <c r="C399" s="92">
        <v>0.71957671957671954</v>
      </c>
      <c r="D399" s="94">
        <v>112000000</v>
      </c>
      <c r="E399" s="91">
        <f>VLOOKUP(2459,收盤價!A:C,3,0)</f>
        <v>34</v>
      </c>
      <c r="F399" s="93">
        <v>3808000000</v>
      </c>
      <c r="G399" s="93">
        <v>11068772000</v>
      </c>
      <c r="H399" s="117">
        <v>0.34</v>
      </c>
      <c r="I399" s="117">
        <v>11.81</v>
      </c>
    </row>
    <row r="400" spans="1:9">
      <c r="A400" s="116">
        <v>2460</v>
      </c>
      <c r="B400" s="91">
        <v>-0.11</v>
      </c>
      <c r="C400" s="92">
        <v>0.96666666666666667</v>
      </c>
      <c r="D400" s="94">
        <v>163636363.63636363</v>
      </c>
      <c r="E400" s="91">
        <f>VLOOKUP(2460,收盤價!A:C,3,0)</f>
        <v>9.5</v>
      </c>
      <c r="F400" s="93">
        <v>1554545454.5454545</v>
      </c>
      <c r="G400" s="93">
        <v>3784298000</v>
      </c>
      <c r="H400" s="117">
        <v>0.41</v>
      </c>
      <c r="I400" s="117">
        <v>0</v>
      </c>
    </row>
    <row r="401" spans="1:9">
      <c r="A401" s="116">
        <v>2461</v>
      </c>
      <c r="B401" s="91">
        <v>0.26</v>
      </c>
      <c r="C401" s="92">
        <v>1</v>
      </c>
      <c r="D401" s="94">
        <v>153846153.84615386</v>
      </c>
      <c r="E401" s="91">
        <f>VLOOKUP(2461,收盤價!A:C,3,0)</f>
        <v>14.65</v>
      </c>
      <c r="F401" s="93">
        <v>2253846153.8461542</v>
      </c>
      <c r="G401" s="93">
        <v>4009552000</v>
      </c>
      <c r="H401" s="117">
        <v>0.56000000000000005</v>
      </c>
      <c r="I401" s="117">
        <v>14.09</v>
      </c>
    </row>
    <row r="402" spans="1:9">
      <c r="A402" s="116">
        <v>2462</v>
      </c>
      <c r="B402" s="91">
        <v>0.02</v>
      </c>
      <c r="C402" s="92">
        <v>1</v>
      </c>
      <c r="D402" s="94">
        <v>150000000</v>
      </c>
      <c r="E402" s="91">
        <f>VLOOKUP(2462,收盤價!A:C,3,0)</f>
        <v>15.95</v>
      </c>
      <c r="F402" s="93">
        <v>2392500000</v>
      </c>
      <c r="G402" s="93">
        <v>4297925000</v>
      </c>
      <c r="H402" s="117">
        <v>0.56000000000000005</v>
      </c>
      <c r="I402" s="117">
        <v>199.38</v>
      </c>
    </row>
    <row r="403" spans="1:9">
      <c r="A403" s="116">
        <v>2464</v>
      </c>
      <c r="B403" s="91">
        <v>0.62</v>
      </c>
      <c r="C403" s="92">
        <v>1</v>
      </c>
      <c r="D403" s="94">
        <v>191935483.87096775</v>
      </c>
      <c r="E403" s="91">
        <f>VLOOKUP(2464,收盤價!A:C,3,0)</f>
        <v>28.4</v>
      </c>
      <c r="F403" s="93">
        <v>5450967741.9354839</v>
      </c>
      <c r="G403" s="93">
        <v>7428323000</v>
      </c>
      <c r="H403" s="117">
        <v>0.73</v>
      </c>
      <c r="I403" s="117">
        <v>11.45</v>
      </c>
    </row>
    <row r="404" spans="1:9">
      <c r="A404" s="116">
        <v>2465</v>
      </c>
      <c r="B404" s="91">
        <v>-0.39</v>
      </c>
      <c r="C404" s="92">
        <v>0</v>
      </c>
      <c r="D404" s="94">
        <v>105128205.12820512</v>
      </c>
      <c r="E404" s="91">
        <f>VLOOKUP(2465,收盤價!A:C,3,0)</f>
        <v>9.01</v>
      </c>
      <c r="F404" s="93">
        <v>947205128.20512807</v>
      </c>
      <c r="G404" s="93">
        <v>2238569000</v>
      </c>
      <c r="H404" s="117">
        <v>0.42</v>
      </c>
      <c r="I404" s="117">
        <v>0</v>
      </c>
    </row>
    <row r="405" spans="1:9">
      <c r="A405" s="116">
        <v>2466</v>
      </c>
      <c r="B405" s="91">
        <v>-0.17</v>
      </c>
      <c r="C405" s="92">
        <v>0.83018867924528306</v>
      </c>
      <c r="D405" s="94">
        <v>141176470.58823529</v>
      </c>
      <c r="E405" s="91">
        <f>VLOOKUP(2466,收盤價!A:C,3,0)</f>
        <v>37</v>
      </c>
      <c r="F405" s="93">
        <v>5223529411.7647057</v>
      </c>
      <c r="G405" s="93">
        <v>1271172000</v>
      </c>
      <c r="H405" s="117">
        <v>4.1100000000000003</v>
      </c>
      <c r="I405" s="117">
        <v>0</v>
      </c>
    </row>
    <row r="406" spans="1:9">
      <c r="A406" s="116">
        <v>2467</v>
      </c>
      <c r="B406" s="91">
        <v>0.32</v>
      </c>
      <c r="C406" s="92">
        <v>1</v>
      </c>
      <c r="D406" s="94">
        <v>159375000</v>
      </c>
      <c r="E406" s="91">
        <f>VLOOKUP(2467,收盤價!A:C,3,0)</f>
        <v>15.7</v>
      </c>
      <c r="F406" s="93">
        <v>2502187500</v>
      </c>
      <c r="G406" s="93">
        <v>3477438000</v>
      </c>
      <c r="H406" s="117">
        <v>0.72</v>
      </c>
      <c r="I406" s="117">
        <v>12.27</v>
      </c>
    </row>
    <row r="407" spans="1:9">
      <c r="A407" s="116">
        <v>2468</v>
      </c>
      <c r="B407" s="91">
        <v>0.2</v>
      </c>
      <c r="C407" s="92">
        <v>0.8</v>
      </c>
      <c r="D407" s="94">
        <v>70000000</v>
      </c>
      <c r="E407" s="91">
        <f>VLOOKUP(2468,收盤價!A:C,3,0)</f>
        <v>10.75</v>
      </c>
      <c r="F407" s="93">
        <v>752500000</v>
      </c>
      <c r="G407" s="93">
        <v>1431221000</v>
      </c>
      <c r="H407" s="117">
        <v>0.53</v>
      </c>
      <c r="I407" s="117">
        <v>16.8</v>
      </c>
    </row>
    <row r="408" spans="1:9">
      <c r="A408" s="116">
        <v>2472</v>
      </c>
      <c r="B408" s="91">
        <v>0.47</v>
      </c>
      <c r="C408" s="92">
        <v>1</v>
      </c>
      <c r="D408" s="94">
        <v>153191489.36170214</v>
      </c>
      <c r="E408" s="91">
        <f>VLOOKUP(2472,收盤價!A:C,3,0)</f>
        <v>25.9</v>
      </c>
      <c r="F408" s="93">
        <v>3967659574.4680853</v>
      </c>
      <c r="G408" s="93">
        <v>5936343000</v>
      </c>
      <c r="H408" s="117">
        <v>0.67</v>
      </c>
      <c r="I408" s="117">
        <v>13.78</v>
      </c>
    </row>
    <row r="409" spans="1:9">
      <c r="A409" s="116">
        <v>3052</v>
      </c>
      <c r="B409" s="91">
        <v>0.25</v>
      </c>
      <c r="C409" s="92">
        <v>0.967741935483871</v>
      </c>
      <c r="D409" s="94">
        <v>200000000</v>
      </c>
      <c r="E409" s="91">
        <f>VLOOKUP(3052,收盤價!A:C,3,0)</f>
        <v>9.6</v>
      </c>
      <c r="F409" s="93">
        <v>1920000000</v>
      </c>
      <c r="G409" s="93">
        <v>2878392000</v>
      </c>
      <c r="H409" s="117">
        <v>0.67</v>
      </c>
      <c r="I409" s="117">
        <v>9.92</v>
      </c>
    </row>
    <row r="410" spans="1:9">
      <c r="A410" s="116">
        <v>2475</v>
      </c>
      <c r="B410" s="91">
        <v>-0.19</v>
      </c>
      <c r="C410" s="92">
        <v>1</v>
      </c>
      <c r="D410" s="94">
        <v>6336842105.2631578</v>
      </c>
      <c r="E410" s="91">
        <f>VLOOKUP(2475,收盤價!A:C,3,0)</f>
        <v>0.88</v>
      </c>
      <c r="F410" s="93">
        <v>5576421052.6315794</v>
      </c>
      <c r="G410" s="93">
        <v>50985642000</v>
      </c>
      <c r="H410" s="117">
        <v>0.11</v>
      </c>
      <c r="I410" s="117">
        <v>0</v>
      </c>
    </row>
    <row r="411" spans="1:9">
      <c r="A411" s="116">
        <v>2476</v>
      </c>
      <c r="B411" s="91">
        <v>0.45</v>
      </c>
      <c r="C411" s="92">
        <v>0.71232876712328763</v>
      </c>
      <c r="D411" s="94">
        <v>182222222.22222221</v>
      </c>
      <c r="E411" s="91">
        <f>VLOOKUP(2476,收盤價!A:C,3,0)</f>
        <v>22.25</v>
      </c>
      <c r="F411" s="93">
        <v>4054444444.4444442</v>
      </c>
      <c r="G411" s="93">
        <v>4708187000</v>
      </c>
      <c r="H411" s="117">
        <v>0.86</v>
      </c>
      <c r="I411" s="117">
        <v>17.350000000000001</v>
      </c>
    </row>
    <row r="412" spans="1:9">
      <c r="A412" s="116">
        <v>1809</v>
      </c>
      <c r="B412" s="91">
        <v>0.06</v>
      </c>
      <c r="C412" s="92">
        <v>1</v>
      </c>
      <c r="D412" s="94">
        <v>200000000</v>
      </c>
      <c r="E412" s="91">
        <f>VLOOKUP(1809,收盤價!A:C,3,0)</f>
        <v>10.85</v>
      </c>
      <c r="F412" s="93">
        <v>2170000000</v>
      </c>
      <c r="G412" s="93">
        <v>3084976000</v>
      </c>
      <c r="H412" s="117">
        <v>0.7</v>
      </c>
      <c r="I412" s="117">
        <v>45.21</v>
      </c>
    </row>
    <row r="413" spans="1:9">
      <c r="A413" s="116">
        <v>3005</v>
      </c>
      <c r="B413" s="91">
        <v>0.47</v>
      </c>
      <c r="C413" s="92">
        <v>0.50611620795107037</v>
      </c>
      <c r="D413" s="94">
        <v>580851063.82978725</v>
      </c>
      <c r="E413" s="91">
        <f>VLOOKUP(3005,收盤價!A:C,3,0)</f>
        <v>21.95</v>
      </c>
      <c r="F413" s="93">
        <v>12749680851.063829</v>
      </c>
      <c r="G413" s="93">
        <v>18037322000</v>
      </c>
      <c r="H413" s="117">
        <v>0.71</v>
      </c>
      <c r="I413" s="117">
        <v>23.07</v>
      </c>
    </row>
    <row r="414" spans="1:9">
      <c r="A414" s="116">
        <v>2480</v>
      </c>
      <c r="B414" s="91">
        <v>0.43</v>
      </c>
      <c r="C414" s="92">
        <v>0.91869918699186992</v>
      </c>
      <c r="D414" s="94">
        <v>134883720.93023255</v>
      </c>
      <c r="E414" s="91">
        <f>VLOOKUP(2480,收盤價!A:C,3,0)</f>
        <v>24.9</v>
      </c>
      <c r="F414" s="93">
        <v>3358604651.1627903</v>
      </c>
      <c r="G414" s="93">
        <v>4785094000</v>
      </c>
      <c r="H414" s="117">
        <v>0.7</v>
      </c>
      <c r="I414" s="117">
        <v>15.76</v>
      </c>
    </row>
    <row r="415" spans="1:9">
      <c r="A415" s="116">
        <v>4532</v>
      </c>
      <c r="B415" s="91">
        <v>0.62</v>
      </c>
      <c r="C415" s="92">
        <v>0.89563567362428842</v>
      </c>
      <c r="D415" s="94">
        <v>464516129.03225809</v>
      </c>
      <c r="E415" s="91">
        <f>VLOOKUP(4532,收盤價!A:C,3,0)</f>
        <v>23.9</v>
      </c>
      <c r="F415" s="93">
        <v>11101935483.870968</v>
      </c>
      <c r="G415" s="93">
        <v>16155088000</v>
      </c>
      <c r="H415" s="117">
        <v>0.69</v>
      </c>
      <c r="I415" s="117">
        <v>10.76</v>
      </c>
    </row>
    <row r="416" spans="1:9">
      <c r="A416" s="116">
        <v>2482</v>
      </c>
      <c r="B416" s="91">
        <v>0.16</v>
      </c>
      <c r="C416" s="92">
        <v>1</v>
      </c>
      <c r="D416" s="94">
        <v>62500000</v>
      </c>
      <c r="E416" s="91">
        <f>VLOOKUP(2482,收盤價!A:C,3,0)</f>
        <v>14.55</v>
      </c>
      <c r="F416" s="93">
        <v>909375000</v>
      </c>
      <c r="G416" s="93">
        <v>857903000</v>
      </c>
      <c r="H416" s="117">
        <v>1.06</v>
      </c>
      <c r="I416" s="117">
        <v>22.73</v>
      </c>
    </row>
    <row r="417" spans="1:9">
      <c r="A417" s="116">
        <v>2483</v>
      </c>
      <c r="B417" s="91">
        <v>0.71</v>
      </c>
      <c r="C417" s="92">
        <v>0.41176470588235292</v>
      </c>
      <c r="D417" s="94">
        <v>111267605.63380282</v>
      </c>
      <c r="E417" s="91">
        <f>VLOOKUP(2483,收盤價!A:C,3,0)</f>
        <v>17.75</v>
      </c>
      <c r="F417" s="93">
        <v>1975000000</v>
      </c>
      <c r="G417" s="93">
        <v>1571438000</v>
      </c>
      <c r="H417" s="117">
        <v>1.26</v>
      </c>
      <c r="I417" s="117">
        <v>15.18</v>
      </c>
    </row>
    <row r="418" spans="1:9">
      <c r="A418" s="116">
        <v>2484</v>
      </c>
      <c r="B418" s="91">
        <v>0.36</v>
      </c>
      <c r="C418" s="92">
        <v>0.92660550458715596</v>
      </c>
      <c r="D418" s="94">
        <v>161111111.1111111</v>
      </c>
      <c r="E418" s="91">
        <f>VLOOKUP(2484,收盤價!A:C,3,0)</f>
        <v>18.600000000000001</v>
      </c>
      <c r="F418" s="93">
        <v>2996666666.666667</v>
      </c>
      <c r="G418" s="93">
        <v>2840259000</v>
      </c>
      <c r="H418" s="117">
        <v>1.06</v>
      </c>
      <c r="I418" s="117">
        <v>13.94</v>
      </c>
    </row>
    <row r="419" spans="1:9">
      <c r="A419" s="116">
        <v>1217</v>
      </c>
      <c r="B419" s="91">
        <v>-0.13</v>
      </c>
      <c r="C419" s="92">
        <v>0.73228346456692917</v>
      </c>
      <c r="D419" s="94">
        <v>492307692.30769229</v>
      </c>
      <c r="E419" s="91">
        <f>VLOOKUP(1217,收盤價!A:C,3,0)</f>
        <v>6.94</v>
      </c>
      <c r="F419" s="93">
        <v>3416615384.6153846</v>
      </c>
      <c r="G419" s="95">
        <v>4664552000</v>
      </c>
      <c r="H419" s="117">
        <v>0.73</v>
      </c>
      <c r="I419" s="117">
        <v>0</v>
      </c>
    </row>
    <row r="420" spans="1:9">
      <c r="A420" s="116">
        <v>2020</v>
      </c>
      <c r="B420" s="91">
        <v>0.12</v>
      </c>
      <c r="C420" s="92">
        <v>0.41304347826086957</v>
      </c>
      <c r="D420" s="94">
        <v>250000000</v>
      </c>
      <c r="E420" s="91">
        <f>VLOOKUP(2020,收盤價!A:C,3,0)</f>
        <v>13.5</v>
      </c>
      <c r="F420" s="93">
        <v>3375000000</v>
      </c>
      <c r="G420" s="93">
        <v>4847243000</v>
      </c>
      <c r="H420" s="117">
        <v>0.7</v>
      </c>
      <c r="I420" s="117">
        <v>68.09</v>
      </c>
    </row>
    <row r="421" spans="1:9">
      <c r="A421" s="116">
        <v>2488</v>
      </c>
      <c r="B421" s="91">
        <v>0.55000000000000004</v>
      </c>
      <c r="C421" s="92">
        <v>0.81111111111111112</v>
      </c>
      <c r="D421" s="94">
        <v>80000000</v>
      </c>
      <c r="E421" s="91">
        <f>VLOOKUP(2488,收盤價!A:C,3,0)</f>
        <v>30.7</v>
      </c>
      <c r="F421" s="93">
        <v>2456000000</v>
      </c>
      <c r="G421" s="93">
        <v>2267580000</v>
      </c>
      <c r="H421" s="117">
        <v>1.08</v>
      </c>
      <c r="I421" s="117">
        <v>17.2</v>
      </c>
    </row>
    <row r="422" spans="1:9">
      <c r="A422" s="116">
        <v>2489</v>
      </c>
      <c r="B422" s="91">
        <v>0.14000000000000001</v>
      </c>
      <c r="C422" s="92">
        <v>0</v>
      </c>
      <c r="D422" s="94">
        <v>864285714.28571415</v>
      </c>
      <c r="E422" s="91">
        <f>VLOOKUP(2489,收盤價!A:C,3,0)</f>
        <v>16.3</v>
      </c>
      <c r="F422" s="93">
        <v>14087857142.857141</v>
      </c>
      <c r="G422" s="93">
        <v>17174323000</v>
      </c>
      <c r="H422" s="117">
        <v>0.82</v>
      </c>
      <c r="I422" s="117">
        <v>0</v>
      </c>
    </row>
    <row r="423" spans="1:9">
      <c r="A423" s="116">
        <v>2491</v>
      </c>
      <c r="B423" s="91">
        <v>-0.21</v>
      </c>
      <c r="C423" s="92">
        <v>0.65384615384615385</v>
      </c>
      <c r="D423" s="94">
        <v>66666666.666666672</v>
      </c>
      <c r="E423" s="91">
        <f>VLOOKUP(2491,收盤價!A:C,3,0)</f>
        <v>8.43</v>
      </c>
      <c r="F423" s="93">
        <v>562000000</v>
      </c>
      <c r="G423" s="93">
        <v>454432000</v>
      </c>
      <c r="H423" s="117">
        <v>1.24</v>
      </c>
      <c r="I423" s="117">
        <v>0</v>
      </c>
    </row>
    <row r="424" spans="1:9">
      <c r="A424" s="116">
        <v>4934</v>
      </c>
      <c r="B424" s="91">
        <v>-0.11</v>
      </c>
      <c r="C424" s="92">
        <v>1</v>
      </c>
      <c r="D424" s="94">
        <v>300000000</v>
      </c>
      <c r="E424" s="91">
        <f>VLOOKUP(4934,收盤價!A:C,3,0)</f>
        <v>17.75</v>
      </c>
      <c r="F424" s="93">
        <v>5325000000</v>
      </c>
      <c r="G424" s="93">
        <v>6810238000</v>
      </c>
      <c r="H424" s="117">
        <v>0.78</v>
      </c>
      <c r="I424" s="117">
        <v>0</v>
      </c>
    </row>
    <row r="425" spans="1:9">
      <c r="A425" s="116">
        <v>2493</v>
      </c>
      <c r="B425" s="91">
        <v>0.35</v>
      </c>
      <c r="C425" s="92">
        <v>1</v>
      </c>
      <c r="D425" s="94">
        <v>114285714.2857143</v>
      </c>
      <c r="E425" s="91">
        <f>VLOOKUP(2493,收盤價!A:C,3,0)</f>
        <v>21.65</v>
      </c>
      <c r="F425" s="93">
        <v>2474285714.2857146</v>
      </c>
      <c r="G425" s="93">
        <v>2303316000</v>
      </c>
      <c r="H425" s="117">
        <v>1.07</v>
      </c>
      <c r="I425" s="117">
        <v>15.46</v>
      </c>
    </row>
    <row r="426" spans="1:9">
      <c r="A426" s="116">
        <v>1519</v>
      </c>
      <c r="B426" s="91">
        <v>0.43</v>
      </c>
      <c r="C426" s="92">
        <v>1</v>
      </c>
      <c r="D426" s="94">
        <v>260465116.27906978</v>
      </c>
      <c r="E426" s="91">
        <f>VLOOKUP(1519,收盤價!A:C,3,0)</f>
        <v>15.3</v>
      </c>
      <c r="F426" s="93">
        <v>3985116279.069768</v>
      </c>
      <c r="G426" s="93">
        <v>5541709000</v>
      </c>
      <c r="H426" s="117">
        <v>0.72</v>
      </c>
      <c r="I426" s="117">
        <v>8.9</v>
      </c>
    </row>
    <row r="427" spans="1:9">
      <c r="A427" s="116">
        <v>2496</v>
      </c>
      <c r="B427" s="91">
        <v>-0.19</v>
      </c>
      <c r="C427" s="92">
        <v>0.83333333333333337</v>
      </c>
      <c r="D427" s="94">
        <v>36842105.263157897</v>
      </c>
      <c r="E427" s="91">
        <f>VLOOKUP(2496,收盤價!A:C,3,0)</f>
        <v>7</v>
      </c>
      <c r="F427" s="93">
        <v>257894736.84210527</v>
      </c>
      <c r="G427" s="93">
        <v>107075000</v>
      </c>
      <c r="H427" s="117">
        <v>2.41</v>
      </c>
      <c r="I427" s="117">
        <v>0</v>
      </c>
    </row>
    <row r="428" spans="1:9">
      <c r="A428" s="116">
        <v>2497</v>
      </c>
      <c r="B428" s="91">
        <v>0.36</v>
      </c>
      <c r="C428" s="92">
        <v>0.86861313868613144</v>
      </c>
      <c r="D428" s="94">
        <v>116666666.66666667</v>
      </c>
      <c r="E428" s="91">
        <f>VLOOKUP(2497,收盤價!A:C,3,0)</f>
        <v>43.4</v>
      </c>
      <c r="F428" s="93">
        <v>5063333333.333333</v>
      </c>
      <c r="G428" s="93">
        <v>3639276000</v>
      </c>
      <c r="H428" s="117">
        <v>1.39</v>
      </c>
      <c r="I428" s="117">
        <v>34.700000000000003</v>
      </c>
    </row>
    <row r="429" spans="1:9">
      <c r="A429" s="116">
        <v>2498</v>
      </c>
      <c r="B429" s="91">
        <v>-9.6999999999999993</v>
      </c>
      <c r="C429" s="92">
        <v>0.70250195465207188</v>
      </c>
      <c r="D429" s="94">
        <v>828247422.68041241</v>
      </c>
      <c r="E429" s="91">
        <f>VLOOKUP(2498,收盤價!A:C,3,0)</f>
        <v>79.2</v>
      </c>
      <c r="F429" s="93">
        <v>65597195876.288666</v>
      </c>
      <c r="G429" s="93">
        <v>153415681000</v>
      </c>
      <c r="H429" s="117">
        <v>0.43</v>
      </c>
      <c r="I429" s="117">
        <v>0</v>
      </c>
    </row>
    <row r="430" spans="1:9">
      <c r="A430" s="116">
        <v>4526</v>
      </c>
      <c r="B430" s="91">
        <v>0.17</v>
      </c>
      <c r="C430" s="92">
        <v>1</v>
      </c>
      <c r="D430" s="94">
        <v>264705882.35294116</v>
      </c>
      <c r="E430" s="91">
        <f>VLOOKUP(4526,收盤價!A:C,3,0)</f>
        <v>23.9</v>
      </c>
      <c r="F430" s="93">
        <v>6326470588.2352934</v>
      </c>
      <c r="G430" s="93">
        <v>9069423000</v>
      </c>
      <c r="H430" s="117">
        <v>0.7</v>
      </c>
      <c r="I430" s="117">
        <v>35.15</v>
      </c>
    </row>
    <row r="431" spans="1:9">
      <c r="A431" s="116">
        <v>2501</v>
      </c>
      <c r="B431" s="91">
        <v>0.2</v>
      </c>
      <c r="C431" s="92">
        <v>0.99837398373983743</v>
      </c>
      <c r="D431" s="94">
        <v>1675000000</v>
      </c>
      <c r="E431" s="91">
        <f>VLOOKUP(2501,收盤價!A:C,3,0)</f>
        <v>14</v>
      </c>
      <c r="F431" s="93">
        <v>23450000000</v>
      </c>
      <c r="G431" s="93">
        <v>12042414000</v>
      </c>
      <c r="H431" s="117">
        <v>1.95</v>
      </c>
      <c r="I431" s="117">
        <v>17.53</v>
      </c>
    </row>
    <row r="432" spans="1:9">
      <c r="A432" s="116">
        <v>2504</v>
      </c>
      <c r="B432" s="91">
        <v>0.05</v>
      </c>
      <c r="C432" s="92">
        <v>0</v>
      </c>
      <c r="D432" s="94">
        <v>1360000000</v>
      </c>
      <c r="E432" s="91">
        <f>VLOOKUP(2504,收盤價!A:C,3,0)</f>
        <v>9.39</v>
      </c>
      <c r="F432" s="93">
        <v>12770400000</v>
      </c>
      <c r="G432" s="93">
        <v>30337495000</v>
      </c>
      <c r="H432" s="117">
        <v>0.42</v>
      </c>
      <c r="I432" s="117">
        <v>0</v>
      </c>
    </row>
    <row r="433" spans="1:9">
      <c r="A433" s="116">
        <v>2009</v>
      </c>
      <c r="B433" s="91">
        <v>-0.12</v>
      </c>
      <c r="C433" s="92">
        <v>0.49693251533742333</v>
      </c>
      <c r="D433" s="94">
        <v>358333333.33333337</v>
      </c>
      <c r="E433" s="91">
        <f>VLOOKUP(2009,收盤價!A:C,3,0)</f>
        <v>7.5</v>
      </c>
      <c r="F433" s="93">
        <v>2687500000.0000005</v>
      </c>
      <c r="G433" s="93">
        <v>3619407000</v>
      </c>
      <c r="H433" s="117">
        <v>0.74</v>
      </c>
      <c r="I433" s="117">
        <v>0</v>
      </c>
    </row>
    <row r="434" spans="1:9">
      <c r="A434" s="116">
        <v>2104</v>
      </c>
      <c r="B434" s="91">
        <v>0.18</v>
      </c>
      <c r="C434" s="92">
        <v>1</v>
      </c>
      <c r="D434" s="94">
        <v>555555555.55555558</v>
      </c>
      <c r="E434" s="91">
        <f>VLOOKUP(2104,收盤價!A:C,3,0)</f>
        <v>24.65</v>
      </c>
      <c r="F434" s="93">
        <v>13694444444.444445</v>
      </c>
      <c r="G434" s="93">
        <v>18758007000</v>
      </c>
      <c r="H434" s="117">
        <v>0.73</v>
      </c>
      <c r="I434" s="117">
        <v>34.24</v>
      </c>
    </row>
    <row r="435" spans="1:9">
      <c r="A435" s="116">
        <v>2509</v>
      </c>
      <c r="B435" s="91">
        <v>-0.37</v>
      </c>
      <c r="C435" s="92">
        <v>0.6964285714285714</v>
      </c>
      <c r="D435" s="94">
        <v>151351351.35135135</v>
      </c>
      <c r="E435" s="91">
        <f>VLOOKUP(2509,收盤價!A:C,3,0)</f>
        <v>23</v>
      </c>
      <c r="F435" s="93">
        <v>3481081081.0810809</v>
      </c>
      <c r="G435" s="93">
        <v>212530000</v>
      </c>
      <c r="H435" s="117">
        <v>16.38</v>
      </c>
      <c r="I435" s="117">
        <v>0</v>
      </c>
    </row>
    <row r="436" spans="1:9">
      <c r="A436" s="116">
        <v>2511</v>
      </c>
      <c r="B436" s="91">
        <v>0.32</v>
      </c>
      <c r="C436" s="92">
        <v>0.79606188466947958</v>
      </c>
      <c r="D436" s="94">
        <v>1621875000</v>
      </c>
      <c r="E436" s="91">
        <f>VLOOKUP(2511,收盤價!A:C,3,0)</f>
        <v>10.1</v>
      </c>
      <c r="F436" s="93">
        <v>16380937500</v>
      </c>
      <c r="G436" s="93">
        <v>17973206000</v>
      </c>
      <c r="H436" s="117">
        <v>0.91</v>
      </c>
      <c r="I436" s="117">
        <v>9.91</v>
      </c>
    </row>
    <row r="437" spans="1:9">
      <c r="A437" s="116">
        <v>2515</v>
      </c>
      <c r="B437" s="91">
        <v>0.01</v>
      </c>
      <c r="C437" s="92">
        <v>0.95544554455445541</v>
      </c>
      <c r="D437" s="94">
        <v>1800000000</v>
      </c>
      <c r="E437" s="91">
        <f>VLOOKUP(2515,收盤價!A:C,3,0)</f>
        <v>7.93</v>
      </c>
      <c r="F437" s="93">
        <v>14274000000</v>
      </c>
      <c r="G437" s="93">
        <v>16073647000</v>
      </c>
      <c r="H437" s="117">
        <v>0.89</v>
      </c>
      <c r="I437" s="117">
        <v>207.49</v>
      </c>
    </row>
    <row r="438" spans="1:9">
      <c r="A438" s="116">
        <v>3006</v>
      </c>
      <c r="B438" s="91">
        <v>0.15</v>
      </c>
      <c r="C438" s="92">
        <v>1</v>
      </c>
      <c r="D438" s="94">
        <v>266666666.66666669</v>
      </c>
      <c r="E438" s="91">
        <f>VLOOKUP(3006,收盤價!A:C,3,0)</f>
        <v>29.05</v>
      </c>
      <c r="F438" s="93">
        <v>7746666666.666667</v>
      </c>
      <c r="G438" s="93">
        <v>9605425000</v>
      </c>
      <c r="H438" s="117">
        <v>0.81</v>
      </c>
      <c r="I438" s="117">
        <v>48.42</v>
      </c>
    </row>
    <row r="439" spans="1:9">
      <c r="A439" s="116">
        <v>5425</v>
      </c>
      <c r="B439" s="91">
        <v>0.6</v>
      </c>
      <c r="C439" s="92">
        <v>1</v>
      </c>
      <c r="D439" s="94">
        <v>221666666.66666669</v>
      </c>
      <c r="E439" s="91">
        <f>VLOOKUP(5425,收盤價!A:C,3,0)</f>
        <v>25.75</v>
      </c>
      <c r="F439" s="93">
        <v>5707916666.666667</v>
      </c>
      <c r="G439" s="93">
        <v>7462912000</v>
      </c>
      <c r="H439" s="117">
        <v>0.76</v>
      </c>
      <c r="I439" s="117">
        <v>10.73</v>
      </c>
    </row>
    <row r="440" spans="1:9">
      <c r="A440" s="116">
        <v>1203</v>
      </c>
      <c r="B440" s="91">
        <v>0.36</v>
      </c>
      <c r="C440" s="92">
        <v>0.70443349753694584</v>
      </c>
      <c r="D440" s="94">
        <v>236111111.11111113</v>
      </c>
      <c r="E440" s="91">
        <f>VLOOKUP(1203,收盤價!A:C,3,0)</f>
        <v>21.15</v>
      </c>
      <c r="F440" s="93">
        <v>4993750000</v>
      </c>
      <c r="G440" s="95">
        <v>6363476000</v>
      </c>
      <c r="H440" s="117">
        <v>0.78</v>
      </c>
      <c r="I440" s="117">
        <v>20.85</v>
      </c>
    </row>
    <row r="441" spans="1:9">
      <c r="A441" s="116">
        <v>2477</v>
      </c>
      <c r="B441" s="91">
        <v>0.05</v>
      </c>
      <c r="C441" s="92">
        <v>0.45652173913043476</v>
      </c>
      <c r="D441" s="94">
        <v>240000000</v>
      </c>
      <c r="E441" s="91">
        <f>VLOOKUP(2477,收盤價!A:C,3,0)</f>
        <v>12.9</v>
      </c>
      <c r="F441" s="93">
        <v>3096000000</v>
      </c>
      <c r="G441" s="93">
        <v>3994048000</v>
      </c>
      <c r="H441" s="117">
        <v>0.78</v>
      </c>
      <c r="I441" s="117">
        <v>141.29</v>
      </c>
    </row>
    <row r="442" spans="1:9">
      <c r="A442" s="116">
        <v>2528</v>
      </c>
      <c r="B442" s="91">
        <v>-0.15</v>
      </c>
      <c r="C442" s="92">
        <v>1</v>
      </c>
      <c r="D442" s="94">
        <v>120000000</v>
      </c>
      <c r="E442" s="91">
        <f>VLOOKUP(2528,收盤價!A:C,3,0)</f>
        <v>9.56</v>
      </c>
      <c r="F442" s="93">
        <v>1147200000</v>
      </c>
      <c r="G442" s="93">
        <v>90519000</v>
      </c>
      <c r="H442" s="117">
        <v>12.67</v>
      </c>
      <c r="I442" s="117">
        <v>0</v>
      </c>
    </row>
    <row r="443" spans="1:9">
      <c r="A443" s="116">
        <v>6182</v>
      </c>
      <c r="B443" s="91">
        <v>0.11</v>
      </c>
      <c r="C443" s="92">
        <v>1</v>
      </c>
      <c r="D443" s="94">
        <v>372727272.72727275</v>
      </c>
      <c r="E443" s="91">
        <f>VLOOKUP(6182,收盤價!A:C,3,0)</f>
        <v>11.55</v>
      </c>
      <c r="F443" s="93">
        <v>4305000000.000001</v>
      </c>
      <c r="G443" s="93">
        <v>5335142000</v>
      </c>
      <c r="H443" s="117">
        <v>0.81</v>
      </c>
      <c r="I443" s="117">
        <v>26.25</v>
      </c>
    </row>
    <row r="444" spans="1:9">
      <c r="A444" s="116">
        <v>1517</v>
      </c>
      <c r="B444" s="91">
        <v>0.24</v>
      </c>
      <c r="C444" s="92">
        <v>0.61016949152542377</v>
      </c>
      <c r="D444" s="94">
        <v>229166666.66666669</v>
      </c>
      <c r="E444" s="91">
        <f>VLOOKUP(1517,收盤價!A:C,3,0)</f>
        <v>12.6</v>
      </c>
      <c r="F444" s="93">
        <v>2887500000</v>
      </c>
      <c r="G444" s="93">
        <v>3752265000</v>
      </c>
      <c r="H444" s="117">
        <v>0.77</v>
      </c>
      <c r="I444" s="117">
        <v>21.51</v>
      </c>
    </row>
    <row r="445" spans="1:9">
      <c r="A445" s="116">
        <v>4919</v>
      </c>
      <c r="B445" s="91">
        <v>0.77</v>
      </c>
      <c r="C445" s="92">
        <v>0.79296875</v>
      </c>
      <c r="D445" s="94">
        <v>207792207.79220778</v>
      </c>
      <c r="E445" s="91">
        <f>VLOOKUP(4919,收盤價!A:C,3,0)</f>
        <v>27.25</v>
      </c>
      <c r="F445" s="93">
        <v>5662337662.3376617</v>
      </c>
      <c r="G445" s="93">
        <v>6989852000</v>
      </c>
      <c r="H445" s="117">
        <v>0.81</v>
      </c>
      <c r="I445" s="117">
        <v>11.16</v>
      </c>
    </row>
    <row r="446" spans="1:9">
      <c r="A446" s="116">
        <v>5305</v>
      </c>
      <c r="B446" s="91">
        <v>1.25</v>
      </c>
      <c r="C446" s="92">
        <v>0</v>
      </c>
      <c r="D446" s="94">
        <v>316000000</v>
      </c>
      <c r="E446" s="91">
        <f>VLOOKUP(5305,收盤價!A:C,3,0)</f>
        <v>22.8</v>
      </c>
      <c r="F446" s="93">
        <v>7204800000</v>
      </c>
      <c r="G446" s="93">
        <v>9324231000</v>
      </c>
      <c r="H446" s="117">
        <v>0.77</v>
      </c>
      <c r="I446" s="117">
        <v>0</v>
      </c>
    </row>
    <row r="447" spans="1:9">
      <c r="A447" s="116">
        <v>2402</v>
      </c>
      <c r="B447" s="91">
        <v>0.16</v>
      </c>
      <c r="C447" s="92">
        <v>1</v>
      </c>
      <c r="D447" s="94">
        <v>337500000</v>
      </c>
      <c r="E447" s="91">
        <f>VLOOKUP(2402,收盤價!A:C,3,0)</f>
        <v>20.05</v>
      </c>
      <c r="F447" s="93">
        <v>6766875000</v>
      </c>
      <c r="G447" s="93">
        <v>8231702000</v>
      </c>
      <c r="H447" s="117">
        <v>0.82</v>
      </c>
      <c r="I447" s="117">
        <v>31.33</v>
      </c>
    </row>
    <row r="448" spans="1:9">
      <c r="A448" s="116">
        <v>2520</v>
      </c>
      <c r="B448" s="91">
        <v>-0.31</v>
      </c>
      <c r="C448" s="92">
        <v>0</v>
      </c>
      <c r="D448" s="94">
        <v>483870967.74193549</v>
      </c>
      <c r="E448" s="91">
        <f>VLOOKUP(2520,收盤價!A:C,3,0)</f>
        <v>18.5</v>
      </c>
      <c r="F448" s="93">
        <v>8951612903.2258072</v>
      </c>
      <c r="G448" s="93">
        <v>10741035000</v>
      </c>
      <c r="H448" s="117">
        <v>0.83</v>
      </c>
      <c r="I448" s="117">
        <v>0</v>
      </c>
    </row>
    <row r="449" spans="1:9">
      <c r="A449" s="116">
        <v>3078</v>
      </c>
      <c r="B449" s="91">
        <v>0.35</v>
      </c>
      <c r="C449" s="92">
        <v>0.8497109826589595</v>
      </c>
      <c r="D449" s="94">
        <v>231428571.42857143</v>
      </c>
      <c r="E449" s="91">
        <f>VLOOKUP(3078,收盤價!A:C,3,0)</f>
        <v>17.899999999999999</v>
      </c>
      <c r="F449" s="93">
        <v>4142571428.5714283</v>
      </c>
      <c r="G449" s="93">
        <v>5071100000</v>
      </c>
      <c r="H449" s="117">
        <v>0.82</v>
      </c>
      <c r="I449" s="117">
        <v>15.05</v>
      </c>
    </row>
    <row r="450" spans="1:9">
      <c r="A450" s="116">
        <v>2540</v>
      </c>
      <c r="B450" s="91">
        <v>0.02</v>
      </c>
      <c r="C450" s="92">
        <v>1</v>
      </c>
      <c r="D450" s="94">
        <v>100000000</v>
      </c>
      <c r="E450" s="91">
        <f>VLOOKUP(2540,收盤價!A:C,3,0)</f>
        <v>30</v>
      </c>
      <c r="F450" s="93">
        <v>3000000000</v>
      </c>
      <c r="G450" s="93">
        <v>1007778000</v>
      </c>
      <c r="H450" s="117">
        <v>2.98</v>
      </c>
      <c r="I450" s="117">
        <v>375</v>
      </c>
    </row>
    <row r="451" spans="1:9">
      <c r="A451" s="116">
        <v>2542</v>
      </c>
      <c r="B451" s="91">
        <v>-0.32</v>
      </c>
      <c r="C451" s="92">
        <v>0.98349834983498352</v>
      </c>
      <c r="D451" s="94">
        <v>881250000</v>
      </c>
      <c r="E451" s="91">
        <f>VLOOKUP(2542,收盤價!A:C,3,0)</f>
        <v>47.9</v>
      </c>
      <c r="F451" s="93">
        <v>42211875000</v>
      </c>
      <c r="G451" s="93">
        <v>26015500000</v>
      </c>
      <c r="H451" s="117">
        <v>1.62</v>
      </c>
      <c r="I451" s="117">
        <v>0</v>
      </c>
    </row>
    <row r="452" spans="1:9">
      <c r="A452" s="116">
        <v>4960</v>
      </c>
      <c r="B452" s="91">
        <v>0.42</v>
      </c>
      <c r="C452" s="92">
        <v>0.9733124018838305</v>
      </c>
      <c r="D452" s="94">
        <v>516666666.66666669</v>
      </c>
      <c r="E452" s="91">
        <f>VLOOKUP(4960,收盤價!A:C,3,0)</f>
        <v>22.15</v>
      </c>
      <c r="F452" s="93">
        <v>11444166666.666666</v>
      </c>
      <c r="G452" s="93">
        <v>13694889000</v>
      </c>
      <c r="H452" s="117">
        <v>0.84</v>
      </c>
      <c r="I452" s="117">
        <v>13.55</v>
      </c>
    </row>
    <row r="453" spans="1:9">
      <c r="A453" s="116">
        <v>1612</v>
      </c>
      <c r="B453" s="91">
        <v>0.06</v>
      </c>
      <c r="C453" s="92">
        <v>0</v>
      </c>
      <c r="D453" s="94">
        <v>333333333.33333337</v>
      </c>
      <c r="E453" s="91">
        <f>VLOOKUP(1612,收盤價!A:C,3,0)</f>
        <v>8.16</v>
      </c>
      <c r="F453" s="93">
        <v>2720000000.0000005</v>
      </c>
      <c r="G453" s="93">
        <v>3260973000</v>
      </c>
      <c r="H453" s="117">
        <v>0.83</v>
      </c>
      <c r="I453" s="117">
        <v>0</v>
      </c>
    </row>
    <row r="454" spans="1:9">
      <c r="A454" s="116">
        <v>2546</v>
      </c>
      <c r="B454" s="91">
        <v>0.28999999999999998</v>
      </c>
      <c r="C454" s="92">
        <v>0.79245283018867929</v>
      </c>
      <c r="D454" s="94">
        <v>106896551.72413793</v>
      </c>
      <c r="E454" s="91">
        <f>VLOOKUP(2546,收盤價!A:C,3,0)</f>
        <v>14.95</v>
      </c>
      <c r="F454" s="93">
        <v>1598103448.275862</v>
      </c>
      <c r="G454" s="93">
        <v>5257953000</v>
      </c>
      <c r="H454" s="117">
        <v>0.3</v>
      </c>
      <c r="I454" s="117">
        <v>16.260000000000002</v>
      </c>
    </row>
    <row r="455" spans="1:9">
      <c r="A455" s="116">
        <v>2547</v>
      </c>
      <c r="B455" s="91">
        <v>-0.2</v>
      </c>
      <c r="C455" s="92">
        <v>0.5955056179775281</v>
      </c>
      <c r="D455" s="94">
        <v>880000000</v>
      </c>
      <c r="E455" s="91">
        <f>VLOOKUP(2547,收盤價!A:C,3,0)</f>
        <v>13</v>
      </c>
      <c r="F455" s="93">
        <v>11440000000</v>
      </c>
      <c r="G455" s="93">
        <v>4044200000</v>
      </c>
      <c r="H455" s="117">
        <v>2.83</v>
      </c>
      <c r="I455" s="117">
        <v>0</v>
      </c>
    </row>
    <row r="456" spans="1:9">
      <c r="A456" s="116">
        <v>2355</v>
      </c>
      <c r="B456" s="91">
        <v>0.79</v>
      </c>
      <c r="C456" s="92">
        <v>0.79190751445086704</v>
      </c>
      <c r="D456" s="94">
        <v>397468354.43037975</v>
      </c>
      <c r="E456" s="91">
        <f>VLOOKUP(2355,收盤價!A:C,3,0)</f>
        <v>44.55</v>
      </c>
      <c r="F456" s="93">
        <v>17707215189.873417</v>
      </c>
      <c r="G456" s="93">
        <v>22339792000</v>
      </c>
      <c r="H456" s="117">
        <v>0.79</v>
      </c>
      <c r="I456" s="117">
        <v>17.8</v>
      </c>
    </row>
    <row r="457" spans="1:9">
      <c r="A457" s="116">
        <v>2596</v>
      </c>
      <c r="B457" s="91">
        <v>-0.11</v>
      </c>
      <c r="C457" s="92">
        <v>0.94</v>
      </c>
      <c r="D457" s="94">
        <v>81818181.818181813</v>
      </c>
      <c r="E457" s="91">
        <f>VLOOKUP(2596,收盤價!A:C,3,0)</f>
        <v>12.75</v>
      </c>
      <c r="F457" s="93">
        <v>1043181818.1818181</v>
      </c>
      <c r="G457" s="93">
        <v>493948000</v>
      </c>
      <c r="H457" s="117">
        <v>2.11</v>
      </c>
      <c r="I457" s="117">
        <v>0</v>
      </c>
    </row>
    <row r="458" spans="1:9">
      <c r="A458" s="116">
        <v>2597</v>
      </c>
      <c r="B458" s="91">
        <v>0.71</v>
      </c>
      <c r="C458" s="92">
        <v>1</v>
      </c>
      <c r="D458" s="94">
        <v>135211267.6056338</v>
      </c>
      <c r="E458" s="91">
        <f>VLOOKUP(2597,收盤價!A:C,3,0)</f>
        <v>39</v>
      </c>
      <c r="F458" s="93">
        <v>5273239436.6197176</v>
      </c>
      <c r="G458" s="93">
        <v>11545542000</v>
      </c>
      <c r="H458" s="117">
        <v>0.46</v>
      </c>
      <c r="I458" s="117">
        <v>13.73</v>
      </c>
    </row>
    <row r="459" spans="1:9">
      <c r="A459" s="116">
        <v>2388</v>
      </c>
      <c r="B459" s="91">
        <v>-0.16</v>
      </c>
      <c r="C459" s="92">
        <v>1</v>
      </c>
      <c r="D459" s="94">
        <v>487500000</v>
      </c>
      <c r="E459" s="91">
        <f>VLOOKUP(2388,收盤價!A:C,3,0)</f>
        <v>8.33</v>
      </c>
      <c r="F459" s="93">
        <v>4060875000</v>
      </c>
      <c r="G459" s="93">
        <v>4833082000</v>
      </c>
      <c r="H459" s="117">
        <v>0.84</v>
      </c>
      <c r="I459" s="117">
        <v>0</v>
      </c>
    </row>
    <row r="460" spans="1:9">
      <c r="A460" s="116">
        <v>2603</v>
      </c>
      <c r="B460" s="91">
        <v>-0.04</v>
      </c>
      <c r="C460" s="92">
        <v>0.9723233794610342</v>
      </c>
      <c r="D460" s="94">
        <v>3825000000</v>
      </c>
      <c r="E460" s="91">
        <f>VLOOKUP(2603,收盤價!A:C,3,0)</f>
        <v>14.65</v>
      </c>
      <c r="F460" s="93">
        <v>56036250000</v>
      </c>
      <c r="G460" s="93">
        <v>142453995000</v>
      </c>
      <c r="H460" s="117">
        <v>0.39</v>
      </c>
      <c r="I460" s="117">
        <v>0</v>
      </c>
    </row>
    <row r="461" spans="1:9">
      <c r="A461" s="116">
        <v>5525</v>
      </c>
      <c r="B461" s="91">
        <v>1.27</v>
      </c>
      <c r="C461" s="92">
        <v>1</v>
      </c>
      <c r="D461" s="94">
        <v>238582677.16535434</v>
      </c>
      <c r="E461" s="91">
        <f>VLOOKUP(5525,收盤價!A:C,3,0)</f>
        <v>15</v>
      </c>
      <c r="F461" s="93">
        <v>3578740157.4803152</v>
      </c>
      <c r="G461" s="93">
        <v>4984879000</v>
      </c>
      <c r="H461" s="117">
        <v>0.72</v>
      </c>
      <c r="I461" s="117">
        <v>2.95</v>
      </c>
    </row>
    <row r="462" spans="1:9">
      <c r="A462" s="116">
        <v>2606</v>
      </c>
      <c r="B462" s="91">
        <v>0.14000000000000001</v>
      </c>
      <c r="C462" s="92">
        <v>0</v>
      </c>
      <c r="D462" s="94">
        <v>842857142.85714281</v>
      </c>
      <c r="E462" s="91">
        <f>VLOOKUP(2606,收盤價!A:C,3,0)</f>
        <v>37.950000000000003</v>
      </c>
      <c r="F462" s="93">
        <v>31986428571.428574</v>
      </c>
      <c r="G462" s="93">
        <v>8233395000</v>
      </c>
      <c r="H462" s="117">
        <v>3.88</v>
      </c>
      <c r="I462" s="117">
        <v>0</v>
      </c>
    </row>
    <row r="463" spans="1:9">
      <c r="A463" s="116">
        <v>2607</v>
      </c>
      <c r="B463" s="91">
        <v>0.22</v>
      </c>
      <c r="C463" s="92">
        <v>0.87822014051522246</v>
      </c>
      <c r="D463" s="94">
        <v>1050000000</v>
      </c>
      <c r="E463" s="91">
        <f>VLOOKUP(2607,收盤價!A:C,3,0)</f>
        <v>14</v>
      </c>
      <c r="F463" s="93">
        <v>14700000000</v>
      </c>
      <c r="G463" s="93">
        <v>7366478000</v>
      </c>
      <c r="H463" s="117">
        <v>2</v>
      </c>
      <c r="I463" s="117">
        <v>18.12</v>
      </c>
    </row>
    <row r="464" spans="1:9">
      <c r="A464" s="116">
        <v>8039</v>
      </c>
      <c r="B464" s="91">
        <v>0.81</v>
      </c>
      <c r="C464" s="92">
        <v>1</v>
      </c>
      <c r="D464" s="94">
        <v>201234567.90123457</v>
      </c>
      <c r="E464" s="91">
        <f>VLOOKUP(8039,收盤價!A:C,3,0)</f>
        <v>40</v>
      </c>
      <c r="F464" s="93">
        <v>8049382716.0493832</v>
      </c>
      <c r="G464" s="93">
        <v>9726212000</v>
      </c>
      <c r="H464" s="117">
        <v>0.83</v>
      </c>
      <c r="I464" s="117">
        <v>12.35</v>
      </c>
    </row>
    <row r="465" spans="1:9">
      <c r="A465" s="116">
        <v>2609</v>
      </c>
      <c r="B465" s="91">
        <v>0</v>
      </c>
      <c r="C465" s="92">
        <v>0</v>
      </c>
      <c r="D465" s="94">
        <v>0</v>
      </c>
      <c r="E465" s="91">
        <f>VLOOKUP(2609,收盤價!A:C,3,0)</f>
        <v>9.99</v>
      </c>
      <c r="F465" s="93">
        <v>0</v>
      </c>
      <c r="G465" s="93">
        <v>134688991000</v>
      </c>
      <c r="H465" s="117">
        <v>0</v>
      </c>
      <c r="I465" s="117">
        <v>0</v>
      </c>
    </row>
    <row r="466" spans="1:9">
      <c r="A466" s="116">
        <v>2610</v>
      </c>
      <c r="B466" s="91">
        <v>0.2</v>
      </c>
      <c r="C466" s="92">
        <v>1</v>
      </c>
      <c r="D466" s="94">
        <v>5585000000</v>
      </c>
      <c r="E466" s="91">
        <f>VLOOKUP(2610,收盤價!A:C,3,0)</f>
        <v>12</v>
      </c>
      <c r="F466" s="93">
        <v>67020000000</v>
      </c>
      <c r="G466" s="93">
        <v>148671028000</v>
      </c>
      <c r="H466" s="117">
        <v>0.45</v>
      </c>
      <c r="I466" s="117">
        <v>15</v>
      </c>
    </row>
    <row r="467" spans="1:9">
      <c r="A467" s="116">
        <v>2611</v>
      </c>
      <c r="B467" s="91">
        <v>0</v>
      </c>
      <c r="C467" s="92">
        <v>0</v>
      </c>
      <c r="D467" s="94">
        <v>0</v>
      </c>
      <c r="E467" s="91">
        <f>VLOOKUP(2611,收盤價!A:C,3,0)</f>
        <v>8.14</v>
      </c>
      <c r="F467" s="93">
        <v>0</v>
      </c>
      <c r="G467" s="93">
        <v>1411481000</v>
      </c>
      <c r="H467" s="117">
        <v>0</v>
      </c>
      <c r="I467" s="117">
        <v>0</v>
      </c>
    </row>
    <row r="468" spans="1:9">
      <c r="A468" s="116">
        <v>1108</v>
      </c>
      <c r="B468" s="91">
        <v>0.39</v>
      </c>
      <c r="C468" s="92">
        <v>1</v>
      </c>
      <c r="D468" s="94">
        <v>407692307.69230765</v>
      </c>
      <c r="E468" s="91">
        <f>VLOOKUP(1108,收盤價!A:C,3,0)</f>
        <v>10.3</v>
      </c>
      <c r="F468" s="93">
        <v>4199230769.2307692</v>
      </c>
      <c r="G468" s="95">
        <v>5203863000</v>
      </c>
      <c r="H468" s="117">
        <v>0.81</v>
      </c>
      <c r="I468" s="117">
        <v>6.6</v>
      </c>
    </row>
    <row r="469" spans="1:9">
      <c r="A469" s="116">
        <v>2613</v>
      </c>
      <c r="B469" s="91">
        <v>0.24</v>
      </c>
      <c r="C469" s="92">
        <v>1</v>
      </c>
      <c r="D469" s="94">
        <v>79166666.666666672</v>
      </c>
      <c r="E469" s="91">
        <f>VLOOKUP(2613,收盤價!A:C,3,0)</f>
        <v>15.25</v>
      </c>
      <c r="F469" s="93">
        <v>1207291666.6666667</v>
      </c>
      <c r="G469" s="93">
        <v>2583979000</v>
      </c>
      <c r="H469" s="117">
        <v>0.47</v>
      </c>
      <c r="I469" s="117">
        <v>15.89</v>
      </c>
    </row>
    <row r="470" spans="1:9">
      <c r="A470" s="116">
        <v>2404</v>
      </c>
      <c r="B470" s="91">
        <v>1.84</v>
      </c>
      <c r="C470" s="92">
        <v>0.45151033386327505</v>
      </c>
      <c r="D470" s="94">
        <v>236956521.73913044</v>
      </c>
      <c r="E470" s="91">
        <f>VLOOKUP(2404,收盤價!A:C,3,0)</f>
        <v>38.85</v>
      </c>
      <c r="F470" s="93">
        <v>9205760869.565218</v>
      </c>
      <c r="G470" s="93">
        <v>11425752000</v>
      </c>
      <c r="H470" s="117">
        <v>0.81</v>
      </c>
      <c r="I470" s="117">
        <v>11.69</v>
      </c>
    </row>
    <row r="471" spans="1:9">
      <c r="A471" s="116">
        <v>2615</v>
      </c>
      <c r="B471" s="91">
        <v>0.49</v>
      </c>
      <c r="C471" s="92">
        <v>0.91487341772151898</v>
      </c>
      <c r="D471" s="94">
        <v>2216326530.6122451</v>
      </c>
      <c r="E471" s="91">
        <f>VLOOKUP(2615,收盤價!A:C,3,0)</f>
        <v>22.25</v>
      </c>
      <c r="F471" s="93">
        <v>49313265306.122452</v>
      </c>
      <c r="G471" s="93">
        <v>67684108000</v>
      </c>
      <c r="H471" s="117">
        <v>0.73</v>
      </c>
      <c r="I471" s="117">
        <v>12.41</v>
      </c>
    </row>
    <row r="472" spans="1:9">
      <c r="A472" s="116">
        <v>2616</v>
      </c>
      <c r="B472" s="91">
        <v>0.5</v>
      </c>
      <c r="C472" s="92">
        <v>0.82653061224489799</v>
      </c>
      <c r="D472" s="94">
        <v>112000000</v>
      </c>
      <c r="E472" s="91">
        <f>VLOOKUP(2616,收盤價!A:C,3,0)</f>
        <v>22.75</v>
      </c>
      <c r="F472" s="93">
        <v>2548000000</v>
      </c>
      <c r="G472" s="93">
        <v>17248190000</v>
      </c>
      <c r="H472" s="117">
        <v>0.15</v>
      </c>
      <c r="I472" s="117">
        <v>13.76</v>
      </c>
    </row>
    <row r="473" spans="1:9">
      <c r="A473" s="116">
        <v>5903</v>
      </c>
      <c r="B473" s="91">
        <v>1.64</v>
      </c>
      <c r="C473" s="92">
        <v>0.79112754158964882</v>
      </c>
      <c r="D473" s="94">
        <v>223780487.80487806</v>
      </c>
      <c r="E473" s="91">
        <f>VLOOKUP(5903,收盤價!A:C,3,0)</f>
        <v>214</v>
      </c>
      <c r="F473" s="93">
        <v>47889024390.243904</v>
      </c>
      <c r="G473" s="93">
        <v>57054922000</v>
      </c>
      <c r="H473" s="117">
        <v>0.84</v>
      </c>
      <c r="I473" s="117">
        <v>41.23</v>
      </c>
    </row>
    <row r="474" spans="1:9">
      <c r="A474" s="116">
        <v>2618</v>
      </c>
      <c r="B474" s="91">
        <v>0.44</v>
      </c>
      <c r="C474" s="92">
        <v>1</v>
      </c>
      <c r="D474" s="94">
        <v>3731818181.818182</v>
      </c>
      <c r="E474" s="91">
        <f>VLOOKUP(2618,收盤價!A:C,3,0)</f>
        <v>19.55</v>
      </c>
      <c r="F474" s="93">
        <v>72957045454.545456</v>
      </c>
      <c r="G474" s="93">
        <v>136846207000</v>
      </c>
      <c r="H474" s="117">
        <v>0.53</v>
      </c>
      <c r="I474" s="117">
        <v>11.11</v>
      </c>
    </row>
    <row r="475" spans="1:9">
      <c r="A475" s="116">
        <v>2634</v>
      </c>
      <c r="B475" s="91">
        <v>0.49</v>
      </c>
      <c r="C475" s="92">
        <v>1</v>
      </c>
      <c r="D475" s="94">
        <v>908163265.30612242</v>
      </c>
      <c r="E475" s="91">
        <f>VLOOKUP(2634,收盤價!A:C,3,0)</f>
        <v>41.35</v>
      </c>
      <c r="F475" s="93">
        <v>37552551020.408165</v>
      </c>
      <c r="G475" s="93">
        <v>27255819000</v>
      </c>
      <c r="H475" s="117">
        <v>1.38</v>
      </c>
      <c r="I475" s="117">
        <v>21.1</v>
      </c>
    </row>
    <row r="476" spans="1:9">
      <c r="A476" s="116">
        <v>2636</v>
      </c>
      <c r="B476" s="91">
        <v>0.97</v>
      </c>
      <c r="C476" s="92">
        <v>0.78014184397163122</v>
      </c>
      <c r="D476" s="94">
        <v>101030927.83505155</v>
      </c>
      <c r="E476" s="91">
        <f>VLOOKUP(2636,收盤價!A:C,3,0)</f>
        <v>30.45</v>
      </c>
      <c r="F476" s="93">
        <v>3076391752.5773196</v>
      </c>
      <c r="G476" s="93">
        <v>10198469000</v>
      </c>
      <c r="H476" s="117">
        <v>0.3</v>
      </c>
      <c r="I476" s="117">
        <v>10.06</v>
      </c>
    </row>
    <row r="477" spans="1:9">
      <c r="A477" s="116">
        <v>2015</v>
      </c>
      <c r="B477" s="91">
        <v>0.95</v>
      </c>
      <c r="C477" s="92">
        <v>0.92690058479532167</v>
      </c>
      <c r="D477" s="94">
        <v>581052631.57894742</v>
      </c>
      <c r="E477" s="91">
        <f>VLOOKUP(2015,收盤價!A:C,3,0)</f>
        <v>38.299999999999997</v>
      </c>
      <c r="F477" s="93">
        <v>22254315789.473686</v>
      </c>
      <c r="G477" s="93">
        <v>26041194000</v>
      </c>
      <c r="H477" s="117">
        <v>0.85</v>
      </c>
      <c r="I477" s="117">
        <v>10.87</v>
      </c>
    </row>
    <row r="478" spans="1:9">
      <c r="A478" s="116">
        <v>2640</v>
      </c>
      <c r="B478" s="91">
        <v>1.51</v>
      </c>
      <c r="C478" s="92">
        <v>1</v>
      </c>
      <c r="D478" s="94">
        <v>41721854.304635763</v>
      </c>
      <c r="E478" s="91">
        <f>VLOOKUP(2640,收盤價!A:C,3,0)</f>
        <v>73.900000000000006</v>
      </c>
      <c r="F478" s="93">
        <v>3083245033.1125832</v>
      </c>
      <c r="G478" s="93">
        <v>1642361000</v>
      </c>
      <c r="H478" s="117">
        <v>1.88</v>
      </c>
      <c r="I478" s="117">
        <v>12.24</v>
      </c>
    </row>
    <row r="479" spans="1:9">
      <c r="A479" s="116">
        <v>2641</v>
      </c>
      <c r="B479" s="91">
        <v>0.1</v>
      </c>
      <c r="C479" s="92">
        <v>1</v>
      </c>
      <c r="D479" s="94">
        <v>120000000</v>
      </c>
      <c r="E479" s="91">
        <f>VLOOKUP(2641,收盤價!A:C,3,0)</f>
        <v>9.1300000000000008</v>
      </c>
      <c r="F479" s="93">
        <v>1095600000</v>
      </c>
      <c r="G479" s="93">
        <v>743676000</v>
      </c>
      <c r="H479" s="117">
        <v>1.47</v>
      </c>
      <c r="I479" s="117">
        <v>22.82</v>
      </c>
    </row>
    <row r="480" spans="1:9">
      <c r="A480" s="116">
        <v>2642</v>
      </c>
      <c r="B480" s="91">
        <v>0.57999999999999996</v>
      </c>
      <c r="C480" s="92">
        <v>0.52040816326530615</v>
      </c>
      <c r="D480" s="94">
        <v>94827586.206896558</v>
      </c>
      <c r="E480" s="91">
        <f>VLOOKUP(2642,收盤價!A:C,3,0)</f>
        <v>32</v>
      </c>
      <c r="F480" s="93">
        <v>3034482758.6206899</v>
      </c>
      <c r="G480" s="93">
        <v>2595297000</v>
      </c>
      <c r="H480" s="117">
        <v>1.17</v>
      </c>
      <c r="I480" s="117">
        <v>26.5</v>
      </c>
    </row>
    <row r="481" spans="1:9">
      <c r="A481" s="116">
        <v>1815</v>
      </c>
      <c r="B481" s="91">
        <v>0.18</v>
      </c>
      <c r="C481" s="92">
        <v>1</v>
      </c>
      <c r="D481" s="94">
        <v>411111111.1111111</v>
      </c>
      <c r="E481" s="91">
        <f>VLOOKUP(1815,收盤價!A:C,3,0)</f>
        <v>10.75</v>
      </c>
      <c r="F481" s="93">
        <v>4419444444.4444447</v>
      </c>
      <c r="G481" s="93">
        <v>4914240000</v>
      </c>
      <c r="H481" s="117">
        <v>0.9</v>
      </c>
      <c r="I481" s="117">
        <v>14.93</v>
      </c>
    </row>
    <row r="482" spans="1:9">
      <c r="A482" s="116">
        <v>2702</v>
      </c>
      <c r="B482" s="91">
        <v>0.16</v>
      </c>
      <c r="C482" s="92">
        <v>1</v>
      </c>
      <c r="D482" s="94">
        <v>87500000</v>
      </c>
      <c r="E482" s="91">
        <f>VLOOKUP(2702,收盤價!A:C,3,0)</f>
        <v>14.3</v>
      </c>
      <c r="F482" s="93">
        <v>1251250000</v>
      </c>
      <c r="G482" s="93">
        <v>708326000</v>
      </c>
      <c r="H482" s="117">
        <v>1.77</v>
      </c>
      <c r="I482" s="117">
        <v>22.34</v>
      </c>
    </row>
    <row r="483" spans="1:9">
      <c r="A483" s="116">
        <v>3339</v>
      </c>
      <c r="B483" s="91">
        <v>-0.66</v>
      </c>
      <c r="C483" s="92">
        <v>0.97187500000000004</v>
      </c>
      <c r="D483" s="94">
        <v>277272727.27272725</v>
      </c>
      <c r="E483" s="91">
        <f>VLOOKUP(3339,收盤價!A:C,3,0)</f>
        <v>4.79</v>
      </c>
      <c r="F483" s="93">
        <v>1328136363.6363635</v>
      </c>
      <c r="G483" s="93">
        <v>1361086000</v>
      </c>
      <c r="H483" s="117">
        <v>0.98</v>
      </c>
      <c r="I483" s="117">
        <v>0</v>
      </c>
    </row>
    <row r="484" spans="1:9">
      <c r="A484" s="116">
        <v>6244</v>
      </c>
      <c r="B484" s="91">
        <v>-1.21</v>
      </c>
      <c r="C484" s="92">
        <v>0.9642857142857143</v>
      </c>
      <c r="D484" s="94">
        <v>453719008.26446283</v>
      </c>
      <c r="E484" s="91">
        <f>VLOOKUP(6244,收盤價!A:C,3,0)</f>
        <v>45</v>
      </c>
      <c r="F484" s="93">
        <v>20417355371.900826</v>
      </c>
      <c r="G484" s="93">
        <v>20299593000</v>
      </c>
      <c r="H484" s="117">
        <v>1.01</v>
      </c>
      <c r="I484" s="117">
        <v>0</v>
      </c>
    </row>
    <row r="485" spans="1:9">
      <c r="A485" s="116">
        <v>1507</v>
      </c>
      <c r="B485" s="91">
        <v>1.1000000000000001</v>
      </c>
      <c r="C485" s="92">
        <v>0.95652173913043481</v>
      </c>
      <c r="D485" s="94">
        <v>409090909.09090906</v>
      </c>
      <c r="E485" s="91">
        <f>VLOOKUP(1507,收盤價!A:C,3,0)</f>
        <v>54.3</v>
      </c>
      <c r="F485" s="93">
        <v>22213636363.63636</v>
      </c>
      <c r="G485" s="93">
        <v>24629301000</v>
      </c>
      <c r="H485" s="117">
        <v>0.9</v>
      </c>
      <c r="I485" s="117">
        <v>12.9</v>
      </c>
    </row>
    <row r="486" spans="1:9">
      <c r="A486" s="116">
        <v>2707</v>
      </c>
      <c r="B486" s="91">
        <v>2.46</v>
      </c>
      <c r="C486" s="92">
        <v>1</v>
      </c>
      <c r="D486" s="94">
        <v>116666666.66666667</v>
      </c>
      <c r="E486" s="91">
        <f>VLOOKUP(2707,收盤價!A:C,3,0)</f>
        <v>219</v>
      </c>
      <c r="F486" s="93">
        <v>25550000000</v>
      </c>
      <c r="G486" s="93">
        <v>6705075000</v>
      </c>
      <c r="H486" s="117">
        <v>3.81</v>
      </c>
      <c r="I486" s="117">
        <v>22.26</v>
      </c>
    </row>
    <row r="487" spans="1:9">
      <c r="A487" s="116">
        <v>2712</v>
      </c>
      <c r="B487" s="91">
        <v>0.16</v>
      </c>
      <c r="C487" s="92">
        <v>0.96666666666666667</v>
      </c>
      <c r="D487" s="94">
        <v>106250000</v>
      </c>
      <c r="E487" s="91">
        <f>VLOOKUP(2712,收盤價!A:C,3,0)</f>
        <v>24</v>
      </c>
      <c r="F487" s="93">
        <v>2550000000</v>
      </c>
      <c r="G487" s="93">
        <v>571541000</v>
      </c>
      <c r="H487" s="117">
        <v>4.46</v>
      </c>
      <c r="I487" s="117">
        <v>38.79</v>
      </c>
    </row>
    <row r="488" spans="1:9">
      <c r="A488" s="116">
        <v>2718</v>
      </c>
      <c r="B488" s="91">
        <v>0.26</v>
      </c>
      <c r="C488" s="92">
        <v>0.88235294117647056</v>
      </c>
      <c r="D488" s="94">
        <v>23076923.076923076</v>
      </c>
      <c r="E488" s="91">
        <f>VLOOKUP(2718,收盤價!A:C,3,0)</f>
        <v>0</v>
      </c>
      <c r="F488" s="93">
        <v>0</v>
      </c>
      <c r="G488" s="93">
        <v>279358000</v>
      </c>
      <c r="H488" s="117">
        <v>0</v>
      </c>
      <c r="I488" s="117">
        <v>0</v>
      </c>
    </row>
    <row r="489" spans="1:9">
      <c r="A489" s="116">
        <v>2719</v>
      </c>
      <c r="B489" s="91">
        <v>0.06</v>
      </c>
      <c r="C489" s="92">
        <v>0.86956521739130432</v>
      </c>
      <c r="D489" s="94">
        <v>33333333.333333336</v>
      </c>
      <c r="E489" s="91">
        <f>VLOOKUP(2719,收盤價!A:C,3,0)</f>
        <v>18.75</v>
      </c>
      <c r="F489" s="93">
        <v>625000000</v>
      </c>
      <c r="G489" s="93">
        <v>3087354000</v>
      </c>
      <c r="H489" s="117">
        <v>0.2</v>
      </c>
      <c r="I489" s="117">
        <v>89.84</v>
      </c>
    </row>
    <row r="490" spans="1:9">
      <c r="A490" s="116">
        <v>2722</v>
      </c>
      <c r="B490" s="91">
        <v>0.48</v>
      </c>
      <c r="C490" s="92">
        <v>1</v>
      </c>
      <c r="D490" s="94">
        <v>95833333.333333343</v>
      </c>
      <c r="E490" s="91">
        <f>VLOOKUP(2722,收盤價!A:C,3,0)</f>
        <v>44.95</v>
      </c>
      <c r="F490" s="93">
        <v>4307708333.333334</v>
      </c>
      <c r="G490" s="93">
        <v>722511000</v>
      </c>
      <c r="H490" s="117">
        <v>5.96</v>
      </c>
      <c r="I490" s="117">
        <v>23.41</v>
      </c>
    </row>
    <row r="491" spans="1:9">
      <c r="A491" s="116">
        <v>2723</v>
      </c>
      <c r="B491" s="91">
        <v>1.32</v>
      </c>
      <c r="C491" s="92">
        <v>1</v>
      </c>
      <c r="D491" s="94">
        <v>140909090.90909091</v>
      </c>
      <c r="E491" s="91">
        <f>VLOOKUP(2723,收盤價!A:C,3,0)</f>
        <v>190.5</v>
      </c>
      <c r="F491" s="93">
        <v>26843181818.181816</v>
      </c>
      <c r="G491" s="93">
        <v>19427651000</v>
      </c>
      <c r="H491" s="117">
        <v>1.38</v>
      </c>
      <c r="I491" s="117">
        <v>36.08</v>
      </c>
    </row>
    <row r="492" spans="1:9">
      <c r="A492" s="116">
        <v>2724</v>
      </c>
      <c r="B492" s="91">
        <v>1.04</v>
      </c>
      <c r="C492" s="92">
        <v>1</v>
      </c>
      <c r="D492" s="94">
        <v>38461538.461538464</v>
      </c>
      <c r="E492" s="91">
        <f>VLOOKUP(2724,收盤價!A:C,3,0)</f>
        <v>17.5</v>
      </c>
      <c r="F492" s="93">
        <v>673076923.07692313</v>
      </c>
      <c r="G492" s="93">
        <v>966876000</v>
      </c>
      <c r="H492" s="117">
        <v>0.7</v>
      </c>
      <c r="I492" s="117">
        <v>4.21</v>
      </c>
    </row>
    <row r="493" spans="1:9">
      <c r="A493" s="116">
        <v>2726</v>
      </c>
      <c r="B493" s="91">
        <v>0.35</v>
      </c>
      <c r="C493" s="92">
        <v>0.5714285714285714</v>
      </c>
      <c r="D493" s="94">
        <v>28571428.571428575</v>
      </c>
      <c r="E493" s="91">
        <f>VLOOKUP(2726,收盤價!A:C,3,0)</f>
        <v>47.7</v>
      </c>
      <c r="F493" s="93">
        <v>1362857142.8571432</v>
      </c>
      <c r="G493" s="93">
        <v>1557949000</v>
      </c>
      <c r="H493" s="117">
        <v>0.87</v>
      </c>
      <c r="I493" s="117">
        <v>59.63</v>
      </c>
    </row>
    <row r="494" spans="1:9">
      <c r="A494" s="116">
        <v>2727</v>
      </c>
      <c r="B494" s="91">
        <v>1.08</v>
      </c>
      <c r="C494" s="92">
        <v>1</v>
      </c>
      <c r="D494" s="94">
        <v>76851851.851851851</v>
      </c>
      <c r="E494" s="91">
        <f>VLOOKUP(2727,收盤價!A:C,3,0)</f>
        <v>190</v>
      </c>
      <c r="F494" s="93">
        <v>14601851851.851852</v>
      </c>
      <c r="G494" s="93">
        <v>16855213000</v>
      </c>
      <c r="H494" s="117">
        <v>0.87</v>
      </c>
      <c r="I494" s="117">
        <v>43.98</v>
      </c>
    </row>
    <row r="495" spans="1:9">
      <c r="A495" s="116">
        <v>2729</v>
      </c>
      <c r="B495" s="91">
        <v>3.57</v>
      </c>
      <c r="C495" s="92">
        <v>0.96894409937888204</v>
      </c>
      <c r="D495" s="94">
        <v>23249299.719887957</v>
      </c>
      <c r="E495" s="91">
        <f>VLOOKUP(2729,收盤價!A:C,3,0)</f>
        <v>235</v>
      </c>
      <c r="F495" s="93">
        <v>5463585434.1736698</v>
      </c>
      <c r="G495" s="93">
        <v>3287897000</v>
      </c>
      <c r="H495" s="117">
        <v>1.66</v>
      </c>
      <c r="I495" s="117">
        <v>16.98</v>
      </c>
    </row>
    <row r="496" spans="1:9">
      <c r="A496" s="116">
        <v>2731</v>
      </c>
      <c r="B496" s="91">
        <v>2.5</v>
      </c>
      <c r="C496" s="92">
        <v>0.85806451612903223</v>
      </c>
      <c r="D496" s="94">
        <v>70000000</v>
      </c>
      <c r="E496" s="91">
        <f>VLOOKUP(2731,收盤價!A:C,3,0)</f>
        <v>143.5</v>
      </c>
      <c r="F496" s="93">
        <v>10045000000</v>
      </c>
      <c r="G496" s="93">
        <v>20307163000</v>
      </c>
      <c r="H496" s="117">
        <v>0.49</v>
      </c>
      <c r="I496" s="117">
        <v>16.72</v>
      </c>
    </row>
    <row r="497" spans="1:9">
      <c r="A497" s="116">
        <v>2732</v>
      </c>
      <c r="B497" s="91">
        <v>0.92</v>
      </c>
      <c r="C497" s="92">
        <v>1</v>
      </c>
      <c r="D497" s="94">
        <v>28260869.565217391</v>
      </c>
      <c r="E497" s="91">
        <f>VLOOKUP(2732,收盤價!A:C,3,0)</f>
        <v>89.8</v>
      </c>
      <c r="F497" s="93">
        <v>2537826086.9565215</v>
      </c>
      <c r="G497" s="93">
        <v>1598949000</v>
      </c>
      <c r="H497" s="117">
        <v>1.59</v>
      </c>
      <c r="I497" s="117">
        <v>24.4</v>
      </c>
    </row>
    <row r="498" spans="1:9">
      <c r="A498" s="116">
        <v>2734</v>
      </c>
      <c r="B498" s="91">
        <v>-0.05</v>
      </c>
      <c r="C498" s="92">
        <v>0.8</v>
      </c>
      <c r="D498" s="94">
        <v>40000000</v>
      </c>
      <c r="E498" s="91">
        <f>VLOOKUP(2734,收盤價!A:C,3,0)</f>
        <v>27.95</v>
      </c>
      <c r="F498" s="93">
        <v>1118000000</v>
      </c>
      <c r="G498" s="93">
        <v>1692898000</v>
      </c>
      <c r="H498" s="117">
        <v>0.66</v>
      </c>
      <c r="I498" s="117">
        <v>0</v>
      </c>
    </row>
    <row r="499" spans="1:9">
      <c r="A499" s="116">
        <v>5349</v>
      </c>
      <c r="B499" s="91">
        <v>0.59</v>
      </c>
      <c r="C499" s="92">
        <v>1</v>
      </c>
      <c r="D499" s="94">
        <v>213559322.03389832</v>
      </c>
      <c r="E499" s="91">
        <f>VLOOKUP(5349,收盤價!A:C,3,0)</f>
        <v>38.950000000000003</v>
      </c>
      <c r="F499" s="93">
        <v>8318135593.2203407</v>
      </c>
      <c r="G499" s="93">
        <v>8355093000</v>
      </c>
      <c r="H499" s="117">
        <v>1</v>
      </c>
      <c r="I499" s="117">
        <v>16.5</v>
      </c>
    </row>
    <row r="500" spans="1:9">
      <c r="A500" s="116">
        <v>2901</v>
      </c>
      <c r="B500" s="91">
        <v>0.09</v>
      </c>
      <c r="C500" s="92">
        <v>0.7142857142857143</v>
      </c>
      <c r="D500" s="94">
        <v>77777777.777777776</v>
      </c>
      <c r="E500" s="91">
        <f>VLOOKUP(2901,收盤價!A:C,3,0)</f>
        <v>27</v>
      </c>
      <c r="F500" s="93">
        <v>2100000000</v>
      </c>
      <c r="G500" s="93">
        <v>152210000</v>
      </c>
      <c r="H500" s="117">
        <v>13.8</v>
      </c>
      <c r="I500" s="117">
        <v>105</v>
      </c>
    </row>
    <row r="501" spans="1:9">
      <c r="A501" s="116">
        <v>2903</v>
      </c>
      <c r="B501" s="91">
        <v>0.09</v>
      </c>
      <c r="C501" s="92">
        <v>1</v>
      </c>
      <c r="D501" s="94">
        <v>1500000000</v>
      </c>
      <c r="E501" s="91">
        <f>VLOOKUP(2903,收盤價!A:C,3,0)</f>
        <v>19.350000000000001</v>
      </c>
      <c r="F501" s="93">
        <v>29025000000.000004</v>
      </c>
      <c r="G501" s="93">
        <v>45281741000</v>
      </c>
      <c r="H501" s="117">
        <v>0.64</v>
      </c>
      <c r="I501" s="117">
        <v>53.75</v>
      </c>
    </row>
    <row r="502" spans="1:9">
      <c r="A502" s="116">
        <v>2904</v>
      </c>
      <c r="B502" s="91">
        <v>0.65</v>
      </c>
      <c r="C502" s="92">
        <v>0.86206896551724133</v>
      </c>
      <c r="D502" s="94">
        <v>69230769.230769232</v>
      </c>
      <c r="E502" s="91">
        <f>VLOOKUP(2904,收盤價!A:C,3,0)</f>
        <v>25.85</v>
      </c>
      <c r="F502" s="93">
        <v>1789615384.6153848</v>
      </c>
      <c r="G502" s="93">
        <v>519530000</v>
      </c>
      <c r="H502" s="117">
        <v>3.44</v>
      </c>
      <c r="I502" s="117">
        <v>11.53</v>
      </c>
    </row>
    <row r="503" spans="1:9">
      <c r="A503" s="116">
        <v>9939</v>
      </c>
      <c r="B503" s="91">
        <v>1.4</v>
      </c>
      <c r="C503" s="92">
        <v>1</v>
      </c>
      <c r="D503" s="94">
        <v>294285714.28571433</v>
      </c>
      <c r="E503" s="91">
        <f>VLOOKUP(9939,收盤價!A:C,3,0)</f>
        <v>52.9</v>
      </c>
      <c r="F503" s="93">
        <v>15567714285.714287</v>
      </c>
      <c r="G503" s="93">
        <v>16978295000</v>
      </c>
      <c r="H503" s="117">
        <v>0.92</v>
      </c>
      <c r="I503" s="117">
        <v>9.4499999999999993</v>
      </c>
    </row>
    <row r="504" spans="1:9">
      <c r="A504" s="116">
        <v>2102</v>
      </c>
      <c r="B504" s="91">
        <v>0.27</v>
      </c>
      <c r="C504" s="92">
        <v>1</v>
      </c>
      <c r="D504" s="94">
        <v>455555555.55555552</v>
      </c>
      <c r="E504" s="91">
        <f>VLOOKUP(2102,收盤價!A:C,3,0)</f>
        <v>15.05</v>
      </c>
      <c r="F504" s="93">
        <v>6856111111.1111107</v>
      </c>
      <c r="G504" s="93">
        <v>7646844000</v>
      </c>
      <c r="H504" s="117">
        <v>0.9</v>
      </c>
      <c r="I504" s="117">
        <v>13.94</v>
      </c>
    </row>
    <row r="505" spans="1:9">
      <c r="A505" s="116">
        <v>2910</v>
      </c>
      <c r="B505" s="91">
        <v>0.12</v>
      </c>
      <c r="C505" s="92">
        <v>1</v>
      </c>
      <c r="D505" s="94">
        <v>175000000</v>
      </c>
      <c r="E505" s="91">
        <f>VLOOKUP(2910,收盤價!A:C,3,0)</f>
        <v>26.05</v>
      </c>
      <c r="F505" s="93">
        <v>4558750000</v>
      </c>
      <c r="G505" s="93">
        <v>675035000</v>
      </c>
      <c r="H505" s="117">
        <v>6.75</v>
      </c>
      <c r="I505" s="117">
        <v>54.27</v>
      </c>
    </row>
    <row r="506" spans="1:9">
      <c r="A506" s="116">
        <v>3383</v>
      </c>
      <c r="B506" s="91">
        <v>-0.92</v>
      </c>
      <c r="C506" s="92">
        <v>0.84691848906560641</v>
      </c>
      <c r="D506" s="94">
        <v>332608695.65217388</v>
      </c>
      <c r="E506" s="91">
        <f>VLOOKUP(3383,收盤價!A:C,3,0)</f>
        <v>9.17</v>
      </c>
      <c r="F506" s="93">
        <v>3050021739.1304345</v>
      </c>
      <c r="G506" s="93">
        <v>2992992000</v>
      </c>
      <c r="H506" s="117">
        <v>1.02</v>
      </c>
      <c r="I506" s="117">
        <v>0</v>
      </c>
    </row>
    <row r="507" spans="1:9">
      <c r="A507" s="116">
        <v>2912</v>
      </c>
      <c r="B507" s="91">
        <v>2.09</v>
      </c>
      <c r="C507" s="92">
        <v>0.72032710280373835</v>
      </c>
      <c r="D507" s="94">
        <v>1038755980.8612441</v>
      </c>
      <c r="E507" s="91">
        <f>VLOOKUP(2912,收盤價!A:C,3,0)</f>
        <v>218.5</v>
      </c>
      <c r="F507" s="93">
        <v>226968181818.18182</v>
      </c>
      <c r="G507" s="93">
        <v>205050909000</v>
      </c>
      <c r="H507" s="117">
        <v>1.1100000000000001</v>
      </c>
      <c r="I507" s="117">
        <v>36.28</v>
      </c>
    </row>
    <row r="508" spans="1:9">
      <c r="A508" s="116">
        <v>6214</v>
      </c>
      <c r="B508" s="91">
        <v>0.73</v>
      </c>
      <c r="C508" s="92">
        <v>0.33234421364985162</v>
      </c>
      <c r="D508" s="94">
        <v>246575342.46575344</v>
      </c>
      <c r="E508" s="91">
        <f>VLOOKUP(6214,收盤價!A:C,3,0)</f>
        <v>62</v>
      </c>
      <c r="F508" s="93">
        <v>15287671232.876713</v>
      </c>
      <c r="G508" s="93">
        <v>15910221000</v>
      </c>
      <c r="H508" s="117">
        <v>0.96</v>
      </c>
      <c r="I508" s="117">
        <v>63.89</v>
      </c>
    </row>
    <row r="509" spans="1:9">
      <c r="A509" s="116">
        <v>2915</v>
      </c>
      <c r="B509" s="91">
        <v>1.9</v>
      </c>
      <c r="C509" s="92">
        <v>0</v>
      </c>
      <c r="D509" s="94">
        <v>886842105.26315796</v>
      </c>
      <c r="E509" s="91">
        <f>VLOOKUP(2915,收盤價!A:C,3,0)</f>
        <v>59.8</v>
      </c>
      <c r="F509" s="93">
        <v>53033157894.736847</v>
      </c>
      <c r="G509" s="93">
        <v>8712679000</v>
      </c>
      <c r="H509" s="117">
        <v>6.09</v>
      </c>
      <c r="I509" s="117">
        <v>0</v>
      </c>
    </row>
    <row r="510" spans="1:9">
      <c r="A510" s="116">
        <v>2916</v>
      </c>
      <c r="B510" s="91">
        <v>0.28000000000000003</v>
      </c>
      <c r="C510" s="92">
        <v>0.63888888888888884</v>
      </c>
      <c r="D510" s="94">
        <v>53571428.571428567</v>
      </c>
      <c r="E510" s="91">
        <f>VLOOKUP(2916,收盤價!A:C,3,0)</f>
        <v>17.7</v>
      </c>
      <c r="F510" s="93">
        <v>948214285.71428561</v>
      </c>
      <c r="G510" s="93">
        <v>1404765000</v>
      </c>
      <c r="H510" s="117">
        <v>0.67</v>
      </c>
      <c r="I510" s="117">
        <v>24.74</v>
      </c>
    </row>
    <row r="511" spans="1:9">
      <c r="A511" s="116">
        <v>2923</v>
      </c>
      <c r="B511" s="91">
        <v>0.46</v>
      </c>
      <c r="C511" s="92">
        <v>1</v>
      </c>
      <c r="D511" s="94">
        <v>1730434782.6086955</v>
      </c>
      <c r="E511" s="91">
        <f>VLOOKUP(2923,收盤價!A:C,3,0)</f>
        <v>23.55</v>
      </c>
      <c r="F511" s="93">
        <v>40751739130.434784</v>
      </c>
      <c r="G511" s="93">
        <v>10651113000</v>
      </c>
      <c r="H511" s="117">
        <v>3.83</v>
      </c>
      <c r="I511" s="117">
        <v>12.8</v>
      </c>
    </row>
    <row r="512" spans="1:9">
      <c r="A512" s="116">
        <v>2924</v>
      </c>
      <c r="B512" s="91">
        <v>0.12</v>
      </c>
      <c r="C512" s="92">
        <v>1</v>
      </c>
      <c r="D512" s="94">
        <v>33333333.333333336</v>
      </c>
      <c r="E512" s="91">
        <f>VLOOKUP(2924,收盤價!A:C,3,0)</f>
        <v>64.3</v>
      </c>
      <c r="F512" s="93">
        <v>2143333333.3333335</v>
      </c>
      <c r="G512" s="93">
        <v>1441923000</v>
      </c>
      <c r="H512" s="117">
        <v>1.49</v>
      </c>
      <c r="I512" s="117">
        <v>133.96</v>
      </c>
    </row>
    <row r="513" spans="1:9">
      <c r="A513" s="116">
        <v>2926</v>
      </c>
      <c r="B513" s="91">
        <v>1.52</v>
      </c>
      <c r="C513" s="92">
        <v>0.83050847457627119</v>
      </c>
      <c r="D513" s="94">
        <v>45394736.842105262</v>
      </c>
      <c r="E513" s="91">
        <f>VLOOKUP(2926,收盤價!A:C,3,0)</f>
        <v>153</v>
      </c>
      <c r="F513" s="93">
        <v>6945394736.8421049</v>
      </c>
      <c r="G513" s="93">
        <v>3581733000</v>
      </c>
      <c r="H513" s="117">
        <v>1.94</v>
      </c>
      <c r="I513" s="117">
        <v>30.3</v>
      </c>
    </row>
    <row r="514" spans="1:9">
      <c r="A514" s="116">
        <v>2929</v>
      </c>
      <c r="B514" s="91">
        <v>3.21</v>
      </c>
      <c r="C514" s="92">
        <v>0.8966480446927374</v>
      </c>
      <c r="D514" s="94">
        <v>57943925.233644858</v>
      </c>
      <c r="E514" s="91">
        <f>VLOOKUP(2929,收盤價!A:C,3,0)</f>
        <v>129.5</v>
      </c>
      <c r="F514" s="93">
        <v>7503738317.7570095</v>
      </c>
      <c r="G514" s="93">
        <v>5205610000</v>
      </c>
      <c r="H514" s="117">
        <v>1.44</v>
      </c>
      <c r="I514" s="117">
        <v>11.25</v>
      </c>
    </row>
    <row r="515" spans="1:9">
      <c r="A515" s="116">
        <v>3002</v>
      </c>
      <c r="B515" s="91">
        <v>0.11</v>
      </c>
      <c r="C515" s="92">
        <v>0.21739130434782608</v>
      </c>
      <c r="D515" s="94">
        <v>100000000</v>
      </c>
      <c r="E515" s="91">
        <f>VLOOKUP(3002,收盤價!A:C,3,0)</f>
        <v>11.35</v>
      </c>
      <c r="F515" s="93">
        <v>1135000000</v>
      </c>
      <c r="G515" s="93">
        <v>488731000</v>
      </c>
      <c r="H515" s="117">
        <v>2.3199999999999998</v>
      </c>
      <c r="I515" s="117">
        <v>118.66</v>
      </c>
    </row>
    <row r="516" spans="1:9">
      <c r="A516" s="116">
        <v>3003</v>
      </c>
      <c r="B516" s="91">
        <v>0.54</v>
      </c>
      <c r="C516" s="92">
        <v>1</v>
      </c>
      <c r="D516" s="94">
        <v>151851851.85185185</v>
      </c>
      <c r="E516" s="91">
        <f>VLOOKUP(3003,收盤價!A:C,3,0)</f>
        <v>39.799999999999997</v>
      </c>
      <c r="F516" s="93">
        <v>6043703703.7037029</v>
      </c>
      <c r="G516" s="93">
        <v>2973236000</v>
      </c>
      <c r="H516" s="117">
        <v>2.0299999999999998</v>
      </c>
      <c r="I516" s="117">
        <v>18.43</v>
      </c>
    </row>
    <row r="517" spans="1:9">
      <c r="A517" s="116">
        <v>3004</v>
      </c>
      <c r="B517" s="91">
        <v>0.91</v>
      </c>
      <c r="C517" s="92">
        <v>1</v>
      </c>
      <c r="D517" s="94">
        <v>52747252.747252747</v>
      </c>
      <c r="E517" s="91">
        <f>VLOOKUP(3004,收盤價!A:C,3,0)</f>
        <v>43.8</v>
      </c>
      <c r="F517" s="93">
        <v>2310329670.32967</v>
      </c>
      <c r="G517" s="93">
        <v>1466626000</v>
      </c>
      <c r="H517" s="117">
        <v>1.58</v>
      </c>
      <c r="I517" s="117">
        <v>12.03</v>
      </c>
    </row>
    <row r="518" spans="1:9">
      <c r="A518" s="116">
        <v>1736</v>
      </c>
      <c r="B518" s="91">
        <v>-0.53</v>
      </c>
      <c r="C518" s="92">
        <v>0.70909090909090911</v>
      </c>
      <c r="D518" s="94">
        <v>305660377.35849053</v>
      </c>
      <c r="E518" s="91">
        <f>VLOOKUP(1736,收盤價!A:C,3,0)</f>
        <v>60.2</v>
      </c>
      <c r="F518" s="93">
        <v>18400754716.981129</v>
      </c>
      <c r="G518" s="93">
        <v>16332430000</v>
      </c>
      <c r="H518" s="117">
        <v>1.1299999999999999</v>
      </c>
      <c r="I518" s="117">
        <v>0</v>
      </c>
    </row>
    <row r="519" spans="1:9">
      <c r="A519" s="116">
        <v>1457</v>
      </c>
      <c r="B519" s="91">
        <v>1.1599999999999999</v>
      </c>
      <c r="C519" s="92">
        <v>0</v>
      </c>
      <c r="D519" s="94">
        <v>263793103.44827589</v>
      </c>
      <c r="E519" s="91">
        <f>VLOOKUP(1457,收盤價!A:C,3,0)</f>
        <v>14</v>
      </c>
      <c r="F519" s="93">
        <v>3693103448.2758627</v>
      </c>
      <c r="G519" s="93">
        <v>4006106000</v>
      </c>
      <c r="H519" s="117">
        <v>0.92</v>
      </c>
      <c r="I519" s="117">
        <v>0</v>
      </c>
    </row>
    <row r="520" spans="1:9">
      <c r="A520" s="116">
        <v>3008</v>
      </c>
      <c r="B520" s="91">
        <v>35.96</v>
      </c>
      <c r="C520" s="92">
        <v>1</v>
      </c>
      <c r="D520" s="94">
        <v>134149054.50500555</v>
      </c>
      <c r="E520" s="91">
        <f>VLOOKUP(3008,收盤價!A:C,3,0)</f>
        <v>2450</v>
      </c>
      <c r="F520" s="93">
        <v>328665183537.26361</v>
      </c>
      <c r="G520" s="93">
        <v>56385249000</v>
      </c>
      <c r="H520" s="117">
        <v>5.83</v>
      </c>
      <c r="I520" s="117">
        <v>17.03</v>
      </c>
    </row>
    <row r="521" spans="1:9">
      <c r="A521" s="116">
        <v>9911</v>
      </c>
      <c r="B521" s="91">
        <v>0.22</v>
      </c>
      <c r="C521" s="92">
        <v>1</v>
      </c>
      <c r="D521" s="94">
        <v>272727272.72727275</v>
      </c>
      <c r="E521" s="91">
        <f>VLOOKUP(9911,收盤價!A:C,3,0)</f>
        <v>17.600000000000001</v>
      </c>
      <c r="F521" s="93">
        <v>4800000000.000001</v>
      </c>
      <c r="G521" s="93">
        <v>4988377000</v>
      </c>
      <c r="H521" s="117">
        <v>0.96</v>
      </c>
      <c r="I521" s="117">
        <v>20</v>
      </c>
    </row>
    <row r="522" spans="1:9">
      <c r="A522" s="116">
        <v>3011</v>
      </c>
      <c r="B522" s="91">
        <v>-0.36</v>
      </c>
      <c r="C522" s="92">
        <v>1</v>
      </c>
      <c r="D522" s="94">
        <v>113888888.8888889</v>
      </c>
      <c r="E522" s="91">
        <f>VLOOKUP(3011,收盤價!A:C,3,0)</f>
        <v>6.42</v>
      </c>
      <c r="F522" s="93">
        <v>731166666.66666675</v>
      </c>
      <c r="G522" s="93">
        <v>2110157000</v>
      </c>
      <c r="H522" s="117">
        <v>0.35</v>
      </c>
      <c r="I522" s="117">
        <v>0</v>
      </c>
    </row>
    <row r="523" spans="1:9">
      <c r="A523" s="116">
        <v>3013</v>
      </c>
      <c r="B523" s="91">
        <v>7.0000000000000007E-2</v>
      </c>
      <c r="C523" s="92">
        <v>1</v>
      </c>
      <c r="D523" s="94">
        <v>185714285.7142857</v>
      </c>
      <c r="E523" s="91">
        <f>VLOOKUP(3013,收盤價!A:C,3,0)</f>
        <v>22.2</v>
      </c>
      <c r="F523" s="93">
        <v>4122857142.8571424</v>
      </c>
      <c r="G523" s="93">
        <v>3165815000</v>
      </c>
      <c r="H523" s="117">
        <v>1.3</v>
      </c>
      <c r="I523" s="117">
        <v>79.290000000000006</v>
      </c>
    </row>
    <row r="524" spans="1:9">
      <c r="A524" s="116">
        <v>3014</v>
      </c>
      <c r="B524" s="91">
        <v>0.23</v>
      </c>
      <c r="C524" s="92">
        <v>1</v>
      </c>
      <c r="D524" s="94">
        <v>156521739.13043478</v>
      </c>
      <c r="E524" s="91">
        <f>VLOOKUP(3014,收盤價!A:C,3,0)</f>
        <v>29.05</v>
      </c>
      <c r="F524" s="93">
        <v>4546956521.739131</v>
      </c>
      <c r="G524" s="93">
        <v>3015531000</v>
      </c>
      <c r="H524" s="117">
        <v>1.51</v>
      </c>
      <c r="I524" s="117">
        <v>31.58</v>
      </c>
    </row>
    <row r="525" spans="1:9">
      <c r="A525" s="116">
        <v>1319</v>
      </c>
      <c r="B525" s="91">
        <v>0.22</v>
      </c>
      <c r="C525" s="92">
        <v>1</v>
      </c>
      <c r="D525" s="94">
        <v>586363636.36363637</v>
      </c>
      <c r="E525" s="91">
        <f>VLOOKUP(1319,收盤價!A:C,3,0)</f>
        <v>35.6</v>
      </c>
      <c r="F525" s="93">
        <v>20874545454.545456</v>
      </c>
      <c r="G525" s="93">
        <v>21787323000</v>
      </c>
      <c r="H525" s="117">
        <v>0.96</v>
      </c>
      <c r="I525" s="117">
        <v>40.450000000000003</v>
      </c>
    </row>
    <row r="526" spans="1:9">
      <c r="A526" s="116">
        <v>3016</v>
      </c>
      <c r="B526" s="91">
        <v>0.09</v>
      </c>
      <c r="C526" s="92">
        <v>0</v>
      </c>
      <c r="D526" s="94">
        <v>100000000</v>
      </c>
      <c r="E526" s="91">
        <f>VLOOKUP(3016,收盤價!A:C,3,0)</f>
        <v>15.05</v>
      </c>
      <c r="F526" s="93">
        <v>1505000000</v>
      </c>
      <c r="G526" s="93">
        <v>866109000</v>
      </c>
      <c r="H526" s="117">
        <v>1.74</v>
      </c>
      <c r="I526" s="117">
        <v>0</v>
      </c>
    </row>
    <row r="527" spans="1:9">
      <c r="A527" s="116">
        <v>1460</v>
      </c>
      <c r="B527" s="91">
        <v>0.15</v>
      </c>
      <c r="C527" s="92">
        <v>1</v>
      </c>
      <c r="D527" s="94">
        <v>446666666.66666669</v>
      </c>
      <c r="E527" s="91">
        <f>VLOOKUP(1460,收盤價!A:C,3,0)</f>
        <v>17.3</v>
      </c>
      <c r="F527" s="93">
        <v>7727333333.333334</v>
      </c>
      <c r="G527" s="93">
        <v>8300423000</v>
      </c>
      <c r="H527" s="117">
        <v>0.93</v>
      </c>
      <c r="I527" s="117">
        <v>28.83</v>
      </c>
    </row>
    <row r="528" spans="1:9">
      <c r="A528" s="116">
        <v>3018</v>
      </c>
      <c r="B528" s="91">
        <v>7.0000000000000007E-2</v>
      </c>
      <c r="C528" s="92">
        <v>0</v>
      </c>
      <c r="D528" s="94">
        <v>57142857.142857134</v>
      </c>
      <c r="E528" s="91">
        <f>VLOOKUP(3018,收盤價!A:C,3,0)</f>
        <v>16.649999999999999</v>
      </c>
      <c r="F528" s="93">
        <v>951428571.42857122</v>
      </c>
      <c r="G528" s="93">
        <v>1302897000</v>
      </c>
      <c r="H528" s="117">
        <v>0.73</v>
      </c>
      <c r="I528" s="117">
        <v>0</v>
      </c>
    </row>
    <row r="529" spans="1:9">
      <c r="A529" s="116">
        <v>3023</v>
      </c>
      <c r="B529" s="91">
        <v>1.21</v>
      </c>
      <c r="C529" s="92">
        <v>0.80284552845528456</v>
      </c>
      <c r="D529" s="94">
        <v>209090909.09090909</v>
      </c>
      <c r="E529" s="91">
        <f>VLOOKUP(3023,收盤價!A:C,3,0)</f>
        <v>56.4</v>
      </c>
      <c r="F529" s="93">
        <v>11792727272.727272</v>
      </c>
      <c r="G529" s="93">
        <v>12171236000</v>
      </c>
      <c r="H529" s="117">
        <v>0.97</v>
      </c>
      <c r="I529" s="117">
        <v>14.51</v>
      </c>
    </row>
    <row r="530" spans="1:9">
      <c r="A530" s="116">
        <v>3021</v>
      </c>
      <c r="B530" s="91">
        <v>0.22</v>
      </c>
      <c r="C530" s="92">
        <v>0.6071428571428571</v>
      </c>
      <c r="D530" s="94">
        <v>104545454.54545455</v>
      </c>
      <c r="E530" s="91">
        <f>VLOOKUP(3021,收盤價!A:C,3,0)</f>
        <v>12</v>
      </c>
      <c r="F530" s="93">
        <v>1254545454.5454545</v>
      </c>
      <c r="G530" s="93">
        <v>1695433000</v>
      </c>
      <c r="H530" s="117">
        <v>0.74</v>
      </c>
      <c r="I530" s="117">
        <v>22.46</v>
      </c>
    </row>
    <row r="531" spans="1:9">
      <c r="A531" s="116">
        <v>3031</v>
      </c>
      <c r="B531" s="91">
        <v>-0.11</v>
      </c>
      <c r="C531" s="92">
        <v>1</v>
      </c>
      <c r="D531" s="94">
        <v>209090909.09090909</v>
      </c>
      <c r="E531" s="91">
        <f>VLOOKUP(3031,收盤價!A:C,3,0)</f>
        <v>10.35</v>
      </c>
      <c r="F531" s="93">
        <v>2164090909.090909</v>
      </c>
      <c r="G531" s="93">
        <v>2238439000</v>
      </c>
      <c r="H531" s="117">
        <v>0.97</v>
      </c>
      <c r="I531" s="117">
        <v>0</v>
      </c>
    </row>
    <row r="532" spans="1:9">
      <c r="A532" s="116">
        <v>1701</v>
      </c>
      <c r="B532" s="91">
        <v>0.33</v>
      </c>
      <c r="C532" s="92">
        <v>0.55392156862745101</v>
      </c>
      <c r="D532" s="94">
        <v>300000000</v>
      </c>
      <c r="E532" s="91">
        <f>VLOOKUP(1701,收盤價!A:C,3,0)</f>
        <v>19</v>
      </c>
      <c r="F532" s="93">
        <v>5700000000</v>
      </c>
      <c r="G532" s="93">
        <v>5525137000</v>
      </c>
      <c r="H532" s="117">
        <v>1.03</v>
      </c>
      <c r="I532" s="117">
        <v>25.99</v>
      </c>
    </row>
    <row r="533" spans="1:9">
      <c r="A533" s="116">
        <v>2340</v>
      </c>
      <c r="B533" s="91">
        <v>0.27</v>
      </c>
      <c r="C533" s="92">
        <v>0.89411764705882357</v>
      </c>
      <c r="D533" s="94">
        <v>544444444.44444442</v>
      </c>
      <c r="E533" s="91">
        <f>VLOOKUP(2340,收盤價!A:C,3,0)</f>
        <v>10.5</v>
      </c>
      <c r="F533" s="93">
        <v>5716666666.666666</v>
      </c>
      <c r="G533" s="93">
        <v>5774972000</v>
      </c>
      <c r="H533" s="117">
        <v>0.99</v>
      </c>
      <c r="I533" s="117">
        <v>10.87</v>
      </c>
    </row>
    <row r="534" spans="1:9">
      <c r="A534" s="116">
        <v>3025</v>
      </c>
      <c r="B534" s="91">
        <v>-0.06</v>
      </c>
      <c r="C534" s="92">
        <v>0.92307692307692313</v>
      </c>
      <c r="D534" s="94">
        <v>66666666.666666672</v>
      </c>
      <c r="E534" s="91">
        <f>VLOOKUP(3025,收盤價!A:C,3,0)</f>
        <v>8.34</v>
      </c>
      <c r="F534" s="93">
        <v>556000000</v>
      </c>
      <c r="G534" s="93">
        <v>497450000</v>
      </c>
      <c r="H534" s="117">
        <v>1.1200000000000001</v>
      </c>
      <c r="I534" s="117">
        <v>0</v>
      </c>
    </row>
    <row r="535" spans="1:9">
      <c r="A535" s="116">
        <v>2401</v>
      </c>
      <c r="B535" s="91">
        <v>0.16</v>
      </c>
      <c r="C535" s="92">
        <v>0</v>
      </c>
      <c r="D535" s="94">
        <v>587500000</v>
      </c>
      <c r="E535" s="91">
        <f>VLOOKUP(2401,收盤價!A:C,3,0)</f>
        <v>13.25</v>
      </c>
      <c r="F535" s="93">
        <v>7784375000</v>
      </c>
      <c r="G535" s="93">
        <v>8570698000</v>
      </c>
      <c r="H535" s="117">
        <v>0.91</v>
      </c>
      <c r="I535" s="117">
        <v>0</v>
      </c>
    </row>
    <row r="536" spans="1:9">
      <c r="A536" s="116">
        <v>3027</v>
      </c>
      <c r="B536" s="91">
        <v>0.16</v>
      </c>
      <c r="C536" s="92">
        <v>0</v>
      </c>
      <c r="D536" s="94">
        <v>100000000</v>
      </c>
      <c r="E536" s="91">
        <f>VLOOKUP(3027,收盤價!A:C,3,0)</f>
        <v>14.2</v>
      </c>
      <c r="F536" s="93">
        <v>1420000000</v>
      </c>
      <c r="G536" s="93">
        <v>1196296000</v>
      </c>
      <c r="H536" s="117">
        <v>1.19</v>
      </c>
      <c r="I536" s="117">
        <v>0</v>
      </c>
    </row>
    <row r="537" spans="1:9">
      <c r="A537" s="116">
        <v>1618</v>
      </c>
      <c r="B537" s="91">
        <v>-7.0000000000000007E-2</v>
      </c>
      <c r="C537" s="92">
        <v>1</v>
      </c>
      <c r="D537" s="94">
        <v>228571428.57142854</v>
      </c>
      <c r="E537" s="91">
        <f>VLOOKUP(1618,收盤價!A:C,3,0)</f>
        <v>7.02</v>
      </c>
      <c r="F537" s="93">
        <v>1604571428.5714283</v>
      </c>
      <c r="G537" s="93">
        <v>1680786000</v>
      </c>
      <c r="H537" s="117">
        <v>0.95</v>
      </c>
      <c r="I537" s="117">
        <v>0</v>
      </c>
    </row>
    <row r="538" spans="1:9">
      <c r="A538" s="116">
        <v>3029</v>
      </c>
      <c r="B538" s="91">
        <v>0.34</v>
      </c>
      <c r="C538" s="92">
        <v>1</v>
      </c>
      <c r="D538" s="94">
        <v>100000000</v>
      </c>
      <c r="E538" s="91">
        <f>VLOOKUP(3029,收盤價!A:C,3,0)</f>
        <v>20.95</v>
      </c>
      <c r="F538" s="93">
        <v>2095000000</v>
      </c>
      <c r="G538" s="93">
        <v>5508479000</v>
      </c>
      <c r="H538" s="117">
        <v>0.38</v>
      </c>
      <c r="I538" s="117">
        <v>15.4</v>
      </c>
    </row>
    <row r="539" spans="1:9">
      <c r="A539" s="116">
        <v>2478</v>
      </c>
      <c r="B539" s="91">
        <v>0.18</v>
      </c>
      <c r="C539" s="92">
        <v>0.84444444444444444</v>
      </c>
      <c r="D539" s="94">
        <v>261111111.11111113</v>
      </c>
      <c r="E539" s="91">
        <f>VLOOKUP(2478,收盤價!A:C,3,0)</f>
        <v>14.8</v>
      </c>
      <c r="F539" s="93">
        <v>3864444444.4444451</v>
      </c>
      <c r="G539" s="93">
        <v>3917078000</v>
      </c>
      <c r="H539" s="117">
        <v>0.99</v>
      </c>
      <c r="I539" s="117">
        <v>24.34</v>
      </c>
    </row>
    <row r="540" spans="1:9">
      <c r="A540" s="116">
        <v>4944</v>
      </c>
      <c r="B540" s="91">
        <v>-0.59</v>
      </c>
      <c r="C540" s="92">
        <v>0.98032786885245904</v>
      </c>
      <c r="D540" s="94">
        <v>208474576.27118644</v>
      </c>
      <c r="E540" s="91">
        <f>VLOOKUP(4944,收盤價!A:C,3,0)</f>
        <v>13.45</v>
      </c>
      <c r="F540" s="93">
        <v>2803983050.8474574</v>
      </c>
      <c r="G540" s="93">
        <v>2344741000</v>
      </c>
      <c r="H540" s="117">
        <v>1.2</v>
      </c>
      <c r="I540" s="117">
        <v>0</v>
      </c>
    </row>
    <row r="541" spans="1:9">
      <c r="A541" s="116">
        <v>3032</v>
      </c>
      <c r="B541" s="91">
        <v>0.27</v>
      </c>
      <c r="C541" s="92">
        <v>0.76136363636363635</v>
      </c>
      <c r="D541" s="94">
        <v>103703703.7037037</v>
      </c>
      <c r="E541" s="91">
        <f>VLOOKUP(3032,收盤價!A:C,3,0)</f>
        <v>20.8</v>
      </c>
      <c r="F541" s="93">
        <v>2157037037.0370369</v>
      </c>
      <c r="G541" s="93">
        <v>3356405000</v>
      </c>
      <c r="H541" s="117">
        <v>0.64</v>
      </c>
      <c r="I541" s="117">
        <v>25.3</v>
      </c>
    </row>
    <row r="542" spans="1:9">
      <c r="A542" s="116">
        <v>1711</v>
      </c>
      <c r="B542" s="91">
        <v>0.22</v>
      </c>
      <c r="C542" s="92">
        <v>1</v>
      </c>
      <c r="D542" s="94">
        <v>518181818.18181819</v>
      </c>
      <c r="E542" s="91">
        <f>VLOOKUP(1711,收盤價!A:C,3,0)</f>
        <v>18.55</v>
      </c>
      <c r="F542" s="93">
        <v>9612272727.272728</v>
      </c>
      <c r="G542" s="93">
        <v>9463970000</v>
      </c>
      <c r="H542" s="117">
        <v>1.02</v>
      </c>
      <c r="I542" s="117">
        <v>21.08</v>
      </c>
    </row>
    <row r="543" spans="1:9">
      <c r="A543" s="116">
        <v>8131</v>
      </c>
      <c r="B543" s="91">
        <v>0.52</v>
      </c>
      <c r="C543" s="92">
        <v>1</v>
      </c>
      <c r="D543" s="94">
        <v>442307692.30769229</v>
      </c>
      <c r="E543" s="91">
        <f>VLOOKUP(8131,收盤價!A:C,3,0)</f>
        <v>20.7</v>
      </c>
      <c r="F543" s="93">
        <v>9155769230.7692299</v>
      </c>
      <c r="G543" s="93">
        <v>8964808000</v>
      </c>
      <c r="H543" s="117">
        <v>1.02</v>
      </c>
      <c r="I543" s="117">
        <v>9.9499999999999993</v>
      </c>
    </row>
    <row r="544" spans="1:9">
      <c r="A544" s="116">
        <v>2426</v>
      </c>
      <c r="B544" s="91">
        <v>0.37</v>
      </c>
      <c r="C544" s="92">
        <v>1</v>
      </c>
      <c r="D544" s="94">
        <v>275675675.67567569</v>
      </c>
      <c r="E544" s="91">
        <f>VLOOKUP(2426,收盤價!A:C,3,0)</f>
        <v>14.55</v>
      </c>
      <c r="F544" s="93">
        <v>4011081081.0810814</v>
      </c>
      <c r="G544" s="93">
        <v>3742721000</v>
      </c>
      <c r="H544" s="117">
        <v>1.07</v>
      </c>
      <c r="I544" s="117">
        <v>9.83</v>
      </c>
    </row>
    <row r="545" spans="1:9">
      <c r="A545" s="116">
        <v>1337</v>
      </c>
      <c r="B545" s="91">
        <v>0.13</v>
      </c>
      <c r="C545" s="92">
        <v>0.80392156862745101</v>
      </c>
      <c r="D545" s="94">
        <v>261538461.53846154</v>
      </c>
      <c r="E545" s="91">
        <f>VLOOKUP(1337,收盤價!A:C,3,0)</f>
        <v>22.05</v>
      </c>
      <c r="F545" s="93">
        <v>5766923076.9230766</v>
      </c>
      <c r="G545" s="93">
        <v>4477384000</v>
      </c>
      <c r="H545" s="117">
        <v>1.29</v>
      </c>
      <c r="I545" s="117">
        <v>52.75</v>
      </c>
    </row>
    <row r="546" spans="1:9">
      <c r="A546" s="116">
        <v>3037</v>
      </c>
      <c r="B546" s="91">
        <v>-0.14000000000000001</v>
      </c>
      <c r="C546" s="92">
        <v>0.68564036222509706</v>
      </c>
      <c r="D546" s="94">
        <v>1542857142.8571427</v>
      </c>
      <c r="E546" s="91">
        <f>VLOOKUP(3037,收盤價!A:C,3,0)</f>
        <v>14.15</v>
      </c>
      <c r="F546" s="93">
        <v>21831428571.42857</v>
      </c>
      <c r="G546" s="93">
        <v>62801859000</v>
      </c>
      <c r="H546" s="117">
        <v>0.35</v>
      </c>
      <c r="I546" s="117">
        <v>0</v>
      </c>
    </row>
    <row r="547" spans="1:9">
      <c r="A547" s="116">
        <v>3545</v>
      </c>
      <c r="B547" s="91">
        <v>0.15</v>
      </c>
      <c r="C547" s="92">
        <v>0</v>
      </c>
      <c r="D547" s="94">
        <v>420000000</v>
      </c>
      <c r="E547" s="91">
        <f>VLOOKUP(3545,收盤價!A:C,3,0)</f>
        <v>25.15</v>
      </c>
      <c r="F547" s="93">
        <v>10563000000</v>
      </c>
      <c r="G547" s="93">
        <v>10215187000</v>
      </c>
      <c r="H547" s="117">
        <v>1.03</v>
      </c>
      <c r="I547" s="117">
        <v>0</v>
      </c>
    </row>
    <row r="548" spans="1:9">
      <c r="A548" s="116">
        <v>3040</v>
      </c>
      <c r="B548" s="91">
        <v>0.86</v>
      </c>
      <c r="C548" s="92">
        <v>0</v>
      </c>
      <c r="D548" s="94">
        <v>62790697.674418606</v>
      </c>
      <c r="E548" s="91">
        <f>VLOOKUP(3040,收盤價!A:C,3,0)</f>
        <v>37.9</v>
      </c>
      <c r="F548" s="93">
        <v>2379767441.860465</v>
      </c>
      <c r="G548" s="93">
        <v>235881000</v>
      </c>
      <c r="H548" s="117">
        <v>10.09</v>
      </c>
      <c r="I548" s="117">
        <v>0</v>
      </c>
    </row>
    <row r="549" spans="1:9">
      <c r="A549" s="116">
        <v>1459</v>
      </c>
      <c r="B549" s="91">
        <v>0.37</v>
      </c>
      <c r="C549" s="92">
        <v>0.41262135922330095</v>
      </c>
      <c r="D549" s="94">
        <v>316216216.21621621</v>
      </c>
      <c r="E549" s="91">
        <f>VLOOKUP(1459,收盤價!A:C,3,0)</f>
        <v>12.85</v>
      </c>
      <c r="F549" s="93">
        <v>4063378378.3783779</v>
      </c>
      <c r="G549" s="93">
        <v>4030240000</v>
      </c>
      <c r="H549" s="117">
        <v>1.01</v>
      </c>
      <c r="I549" s="117">
        <v>21.04</v>
      </c>
    </row>
    <row r="550" spans="1:9">
      <c r="A550" s="116">
        <v>1503</v>
      </c>
      <c r="B550" s="91">
        <v>0.48</v>
      </c>
      <c r="C550" s="92">
        <v>0.7813504823151125</v>
      </c>
      <c r="D550" s="94">
        <v>525000000</v>
      </c>
      <c r="E550" s="91">
        <f>VLOOKUP(1503,收盤價!A:C,3,0)</f>
        <v>39.9</v>
      </c>
      <c r="F550" s="93">
        <v>20947500000</v>
      </c>
      <c r="G550" s="93">
        <v>20049011000</v>
      </c>
      <c r="H550" s="117">
        <v>1.04</v>
      </c>
      <c r="I550" s="117">
        <v>26.6</v>
      </c>
    </row>
    <row r="551" spans="1:9">
      <c r="A551" s="116">
        <v>3043</v>
      </c>
      <c r="B551" s="91">
        <v>0.26</v>
      </c>
      <c r="C551" s="92">
        <v>1</v>
      </c>
      <c r="D551" s="94">
        <v>192307692.30769229</v>
      </c>
      <c r="E551" s="91">
        <f>VLOOKUP(3043,收盤價!A:C,3,0)</f>
        <v>2.67</v>
      </c>
      <c r="F551" s="93">
        <v>513461538.46153837</v>
      </c>
      <c r="G551" s="93">
        <v>1483834000</v>
      </c>
      <c r="H551" s="117">
        <v>0.35</v>
      </c>
      <c r="I551" s="117">
        <v>2.57</v>
      </c>
    </row>
    <row r="552" spans="1:9">
      <c r="A552" s="116">
        <v>1109</v>
      </c>
      <c r="B552" s="91">
        <v>-0.03</v>
      </c>
      <c r="C552" s="92">
        <v>0</v>
      </c>
      <c r="D552" s="94">
        <v>466666666.66666669</v>
      </c>
      <c r="E552" s="91" t="e">
        <f>VLOOKUP(1109,收盤價!A:C,3,0)</f>
        <v>#N/A</v>
      </c>
      <c r="F552" s="93">
        <v>4736666666.666667</v>
      </c>
      <c r="G552" s="93">
        <v>4490776000</v>
      </c>
      <c r="H552" s="117">
        <v>1.05</v>
      </c>
      <c r="I552" s="117">
        <v>0</v>
      </c>
    </row>
    <row r="553" spans="1:9">
      <c r="A553" s="116">
        <v>3045</v>
      </c>
      <c r="B553" s="91">
        <v>1.45</v>
      </c>
      <c r="C553" s="92">
        <v>1</v>
      </c>
      <c r="D553" s="94">
        <v>2722068965.5172415</v>
      </c>
      <c r="E553" s="91">
        <f>VLOOKUP(3045,收盤價!A:C,3,0)</f>
        <v>102</v>
      </c>
      <c r="F553" s="93">
        <v>277651034482.75861</v>
      </c>
      <c r="G553" s="93">
        <v>116331502000</v>
      </c>
      <c r="H553" s="117">
        <v>2.39</v>
      </c>
      <c r="I553" s="117">
        <v>17.59</v>
      </c>
    </row>
    <row r="554" spans="1:9">
      <c r="A554" s="116">
        <v>3046</v>
      </c>
      <c r="B554" s="91">
        <v>-0.6</v>
      </c>
      <c r="C554" s="92">
        <v>1</v>
      </c>
      <c r="D554" s="94">
        <v>115000000</v>
      </c>
      <c r="E554" s="91">
        <f>VLOOKUP(3046,收盤價!A:C,3,0)</f>
        <v>11.75</v>
      </c>
      <c r="F554" s="93">
        <v>1351250000</v>
      </c>
      <c r="G554" s="93">
        <v>1396973000</v>
      </c>
      <c r="H554" s="117">
        <v>0.97</v>
      </c>
      <c r="I554" s="117">
        <v>0</v>
      </c>
    </row>
    <row r="555" spans="1:9">
      <c r="A555" s="116">
        <v>2035</v>
      </c>
      <c r="B555" s="91">
        <v>-0.53</v>
      </c>
      <c r="C555" s="92">
        <v>1</v>
      </c>
      <c r="D555" s="94">
        <v>347169811.32075471</v>
      </c>
      <c r="E555" s="91">
        <f>VLOOKUP(2035,收盤價!A:C,3,0)</f>
        <v>46.5</v>
      </c>
      <c r="F555" s="93">
        <v>16143396226.415094</v>
      </c>
      <c r="G555" s="93">
        <v>16046962000</v>
      </c>
      <c r="H555" s="117">
        <v>1.01</v>
      </c>
      <c r="I555" s="117">
        <v>0</v>
      </c>
    </row>
    <row r="556" spans="1:9">
      <c r="A556" s="116">
        <v>3048</v>
      </c>
      <c r="B556" s="91">
        <v>0.56999999999999995</v>
      </c>
      <c r="C556" s="92">
        <v>1</v>
      </c>
      <c r="D556" s="94">
        <v>182456140.3508772</v>
      </c>
      <c r="E556" s="91">
        <f>VLOOKUP(3048,收盤價!A:C,3,0)</f>
        <v>21.35</v>
      </c>
      <c r="F556" s="93">
        <v>3895438596.4912286</v>
      </c>
      <c r="G556" s="93">
        <v>72127909000</v>
      </c>
      <c r="H556" s="117">
        <v>0.05</v>
      </c>
      <c r="I556" s="117">
        <v>9.36</v>
      </c>
    </row>
    <row r="557" spans="1:9">
      <c r="A557" s="116">
        <v>3049</v>
      </c>
      <c r="B557" s="91">
        <v>-0.09</v>
      </c>
      <c r="C557" s="92">
        <v>1</v>
      </c>
      <c r="D557" s="94">
        <v>1188888888.8888888</v>
      </c>
      <c r="E557" s="91">
        <f>VLOOKUP(3049,收盤價!A:C,3,0)</f>
        <v>5.15</v>
      </c>
      <c r="F557" s="93">
        <v>6122777777.7777777</v>
      </c>
      <c r="G557" s="93">
        <v>4622567000</v>
      </c>
      <c r="H557" s="117">
        <v>1.32</v>
      </c>
      <c r="I557" s="117">
        <v>0</v>
      </c>
    </row>
    <row r="558" spans="1:9">
      <c r="A558" s="116">
        <v>3050</v>
      </c>
      <c r="B558" s="91">
        <v>0.28999999999999998</v>
      </c>
      <c r="C558" s="92">
        <v>0.26470588235294118</v>
      </c>
      <c r="D558" s="94">
        <v>179310344.82758623</v>
      </c>
      <c r="E558" s="91">
        <f>VLOOKUP(3050,收盤價!A:C,3,0)</f>
        <v>7.6</v>
      </c>
      <c r="F558" s="93">
        <v>1362758620.6896553</v>
      </c>
      <c r="G558" s="93">
        <v>906719000</v>
      </c>
      <c r="H558" s="117">
        <v>1.5</v>
      </c>
      <c r="I558" s="117">
        <v>24.75</v>
      </c>
    </row>
    <row r="559" spans="1:9">
      <c r="A559" s="116">
        <v>5608</v>
      </c>
      <c r="B559" s="91">
        <v>-0.09</v>
      </c>
      <c r="C559" s="92">
        <v>0</v>
      </c>
      <c r="D559" s="94">
        <v>388888888.8888889</v>
      </c>
      <c r="E559" s="91">
        <f>VLOOKUP(5608,收盤價!A:C,3,0)</f>
        <v>13.55</v>
      </c>
      <c r="F559" s="93">
        <v>5269444444.4444447</v>
      </c>
      <c r="G559" s="93">
        <v>4578071000</v>
      </c>
      <c r="H559" s="117">
        <v>1.1499999999999999</v>
      </c>
      <c r="I559" s="117">
        <v>0</v>
      </c>
    </row>
    <row r="560" spans="1:9">
      <c r="A560" s="116">
        <v>9905</v>
      </c>
      <c r="B560" s="91">
        <v>0.85</v>
      </c>
      <c r="C560" s="92">
        <v>0.80874316939890711</v>
      </c>
      <c r="D560" s="94">
        <v>305882352.94117647</v>
      </c>
      <c r="E560" s="91">
        <f>VLOOKUP(9905,收盤價!A:C,3,0)</f>
        <v>29.05</v>
      </c>
      <c r="F560" s="93">
        <v>8885882352.9411774</v>
      </c>
      <c r="G560" s="93">
        <v>8222141000</v>
      </c>
      <c r="H560" s="117">
        <v>1.08</v>
      </c>
      <c r="I560" s="117">
        <v>10.56</v>
      </c>
    </row>
    <row r="561" spans="1:9">
      <c r="A561" s="116">
        <v>3054</v>
      </c>
      <c r="B561" s="91">
        <v>-0.17</v>
      </c>
      <c r="C561" s="92">
        <v>1</v>
      </c>
      <c r="D561" s="94">
        <v>105882352.94117646</v>
      </c>
      <c r="E561" s="91">
        <f>VLOOKUP(3054,收盤價!A:C,3,0)</f>
        <v>17.8</v>
      </c>
      <c r="F561" s="93">
        <v>1884705882.352941</v>
      </c>
      <c r="G561" s="93">
        <v>1136571000</v>
      </c>
      <c r="H561" s="117">
        <v>1.66</v>
      </c>
      <c r="I561" s="117">
        <v>0</v>
      </c>
    </row>
    <row r="562" spans="1:9">
      <c r="A562" s="116">
        <v>3055</v>
      </c>
      <c r="B562" s="91">
        <v>0.27</v>
      </c>
      <c r="C562" s="92">
        <v>0.95161290322580649</v>
      </c>
      <c r="D562" s="94">
        <v>129629629.62962963</v>
      </c>
      <c r="E562" s="91">
        <f>VLOOKUP(3055,收盤價!A:C,3,0)</f>
        <v>13.1</v>
      </c>
      <c r="F562" s="93">
        <v>1698148148.1481481</v>
      </c>
      <c r="G562" s="93">
        <v>2885846000</v>
      </c>
      <c r="H562" s="117">
        <v>0.59</v>
      </c>
      <c r="I562" s="117">
        <v>12.75</v>
      </c>
    </row>
    <row r="563" spans="1:9">
      <c r="A563" s="116">
        <v>3056</v>
      </c>
      <c r="B563" s="91">
        <v>-0.06</v>
      </c>
      <c r="C563" s="92">
        <v>0.75</v>
      </c>
      <c r="D563" s="94">
        <v>166666666.66666669</v>
      </c>
      <c r="E563" s="91">
        <f>VLOOKUP(3056,收盤價!A:C,3,0)</f>
        <v>12.6</v>
      </c>
      <c r="F563" s="93">
        <v>2100000000.0000002</v>
      </c>
      <c r="G563" s="93">
        <v>4232604000</v>
      </c>
      <c r="H563" s="117">
        <v>0.5</v>
      </c>
      <c r="I563" s="117">
        <v>0</v>
      </c>
    </row>
    <row r="564" spans="1:9">
      <c r="A564" s="116">
        <v>3057</v>
      </c>
      <c r="B564" s="91">
        <v>0.03</v>
      </c>
      <c r="C564" s="92">
        <v>1</v>
      </c>
      <c r="D564" s="94">
        <v>133333333.33333334</v>
      </c>
      <c r="E564" s="91">
        <f>VLOOKUP(3057,收盤價!A:C,3,0)</f>
        <v>19.5</v>
      </c>
      <c r="F564" s="93">
        <v>2600000000</v>
      </c>
      <c r="G564" s="93">
        <v>3290459000</v>
      </c>
      <c r="H564" s="117">
        <v>0.79</v>
      </c>
      <c r="I564" s="117">
        <v>162.5</v>
      </c>
    </row>
    <row r="565" spans="1:9">
      <c r="A565" s="116">
        <v>3058</v>
      </c>
      <c r="B565" s="91">
        <v>0.16</v>
      </c>
      <c r="C565" s="92">
        <v>0.14705882352941177</v>
      </c>
      <c r="D565" s="94">
        <v>168750000</v>
      </c>
      <c r="E565" s="91">
        <f>VLOOKUP(3058,收盤價!A:C,3,0)</f>
        <v>9.43</v>
      </c>
      <c r="F565" s="93">
        <v>1591312500</v>
      </c>
      <c r="G565" s="93">
        <v>5364748000</v>
      </c>
      <c r="H565" s="117">
        <v>0.3</v>
      </c>
      <c r="I565" s="117">
        <v>100.19</v>
      </c>
    </row>
    <row r="566" spans="1:9">
      <c r="A566" s="116">
        <v>2417</v>
      </c>
      <c r="B566" s="91">
        <v>-0.35</v>
      </c>
      <c r="C566" s="92">
        <v>1</v>
      </c>
      <c r="D566" s="94">
        <v>200000000</v>
      </c>
      <c r="E566" s="91">
        <f>VLOOKUP(2417,收盤價!A:C,3,0)</f>
        <v>10.75</v>
      </c>
      <c r="F566" s="93">
        <v>2150000000</v>
      </c>
      <c r="G566" s="93">
        <v>1751020000</v>
      </c>
      <c r="H566" s="117">
        <v>1.23</v>
      </c>
      <c r="I566" s="117">
        <v>0</v>
      </c>
    </row>
    <row r="567" spans="1:9">
      <c r="A567" s="116">
        <v>3060</v>
      </c>
      <c r="B567" s="91">
        <v>0.55000000000000004</v>
      </c>
      <c r="C567" s="92">
        <v>0.48076923076923078</v>
      </c>
      <c r="D567" s="94">
        <v>172727272.72727272</v>
      </c>
      <c r="E567" s="91">
        <f>VLOOKUP(3060,收盤價!A:C,3,0)</f>
        <v>61.8</v>
      </c>
      <c r="F567" s="93">
        <v>10674545454.545454</v>
      </c>
      <c r="G567" s="93">
        <v>7595727000</v>
      </c>
      <c r="H567" s="117">
        <v>1.41</v>
      </c>
      <c r="I567" s="117">
        <v>58.43</v>
      </c>
    </row>
    <row r="568" spans="1:9">
      <c r="A568" s="116">
        <v>2379</v>
      </c>
      <c r="B568" s="91">
        <v>0.72</v>
      </c>
      <c r="C568" s="92">
        <v>0.72423146473779387</v>
      </c>
      <c r="D568" s="94">
        <v>506944444.44444448</v>
      </c>
      <c r="E568" s="91">
        <f>VLOOKUP(2379,收盤價!A:C,3,0)</f>
        <v>68</v>
      </c>
      <c r="F568" s="93">
        <v>34472222222.222221</v>
      </c>
      <c r="G568" s="93">
        <v>29880477000</v>
      </c>
      <c r="H568" s="117">
        <v>1.1499999999999999</v>
      </c>
      <c r="I568" s="117">
        <v>32.6</v>
      </c>
    </row>
    <row r="569" spans="1:9">
      <c r="A569" s="116">
        <v>3064</v>
      </c>
      <c r="B569" s="91">
        <v>-0.6</v>
      </c>
      <c r="C569" s="92">
        <v>0.75151515151515147</v>
      </c>
      <c r="D569" s="94">
        <v>71666666.666666672</v>
      </c>
      <c r="E569" s="91">
        <f>VLOOKUP(3064,收盤價!A:C,3,0)</f>
        <v>23</v>
      </c>
      <c r="F569" s="93">
        <v>1648333333.3333335</v>
      </c>
      <c r="G569" s="93">
        <v>118738000</v>
      </c>
      <c r="H569" s="117">
        <v>13.88</v>
      </c>
      <c r="I569" s="117">
        <v>0</v>
      </c>
    </row>
    <row r="570" spans="1:9">
      <c r="A570" s="116">
        <v>3066</v>
      </c>
      <c r="B570" s="91">
        <v>-0.42</v>
      </c>
      <c r="C570" s="92">
        <v>1</v>
      </c>
      <c r="D570" s="94">
        <v>83333333.333333343</v>
      </c>
      <c r="E570" s="91">
        <f>VLOOKUP(3066,收盤價!A:C,3,0)</f>
        <v>6.9</v>
      </c>
      <c r="F570" s="93">
        <v>575000000.00000012</v>
      </c>
      <c r="G570" s="93">
        <v>538213000</v>
      </c>
      <c r="H570" s="117">
        <v>1.07</v>
      </c>
      <c r="I570" s="117">
        <v>0</v>
      </c>
    </row>
    <row r="571" spans="1:9">
      <c r="A571" s="116">
        <v>3067</v>
      </c>
      <c r="B571" s="91">
        <v>-0.17</v>
      </c>
      <c r="C571" s="92">
        <v>1</v>
      </c>
      <c r="D571" s="94">
        <v>29411764.705882352</v>
      </c>
      <c r="E571" s="91">
        <f>VLOOKUP(3067,收盤價!A:C,3,0)</f>
        <v>14.05</v>
      </c>
      <c r="F571" s="93">
        <v>413235294.11764705</v>
      </c>
      <c r="G571" s="93">
        <v>347571000</v>
      </c>
      <c r="H571" s="117">
        <v>1.19</v>
      </c>
      <c r="I571" s="117">
        <v>0</v>
      </c>
    </row>
    <row r="572" spans="1:9">
      <c r="A572" s="116">
        <v>3068</v>
      </c>
      <c r="B572" s="91">
        <v>0.28999999999999998</v>
      </c>
      <c r="C572" s="92">
        <v>1</v>
      </c>
      <c r="D572" s="94">
        <v>82758620.689655185</v>
      </c>
      <c r="E572" s="91">
        <f>VLOOKUP(3068,收盤價!A:C,3,0)</f>
        <v>32</v>
      </c>
      <c r="F572" s="93">
        <v>2648275862.0689659</v>
      </c>
      <c r="G572" s="93">
        <v>2681403000</v>
      </c>
      <c r="H572" s="117">
        <v>0.99</v>
      </c>
      <c r="I572" s="117">
        <v>27.59</v>
      </c>
    </row>
    <row r="573" spans="1:9">
      <c r="A573" s="116">
        <v>2383</v>
      </c>
      <c r="B573" s="91">
        <v>1.51</v>
      </c>
      <c r="C573" s="92">
        <v>1</v>
      </c>
      <c r="D573" s="94">
        <v>317218543.04635763</v>
      </c>
      <c r="E573" s="91">
        <f>VLOOKUP(2383,收盤價!A:C,3,0)</f>
        <v>67.7</v>
      </c>
      <c r="F573" s="93">
        <v>21475695364.238411</v>
      </c>
      <c r="G573" s="93">
        <v>20770964000</v>
      </c>
      <c r="H573" s="117">
        <v>1.03</v>
      </c>
      <c r="I573" s="117">
        <v>11.21</v>
      </c>
    </row>
    <row r="574" spans="1:9">
      <c r="A574" s="116">
        <v>3073</v>
      </c>
      <c r="B574" s="91">
        <v>-0.23</v>
      </c>
      <c r="C574" s="92">
        <v>1</v>
      </c>
      <c r="D574" s="94">
        <v>47826086.956521735</v>
      </c>
      <c r="E574" s="91">
        <f>VLOOKUP(3073,收盤價!A:C,3,0)</f>
        <v>6</v>
      </c>
      <c r="F574" s="93">
        <v>286956521.73913038</v>
      </c>
      <c r="G574" s="93">
        <v>52356000</v>
      </c>
      <c r="H574" s="117">
        <v>5.48</v>
      </c>
      <c r="I574" s="117">
        <v>0</v>
      </c>
    </row>
    <row r="575" spans="1:9">
      <c r="A575" s="116">
        <v>6176</v>
      </c>
      <c r="B575" s="91">
        <v>0.03</v>
      </c>
      <c r="C575" s="92">
        <v>0.40389294403892945</v>
      </c>
      <c r="D575" s="94">
        <v>500000000</v>
      </c>
      <c r="E575" s="91">
        <f>VLOOKUP(6176,收盤價!A:C,3,0)</f>
        <v>105</v>
      </c>
      <c r="F575" s="93">
        <v>52500000000</v>
      </c>
      <c r="G575" s="93">
        <v>47099542000</v>
      </c>
      <c r="H575" s="117">
        <v>1.1100000000000001</v>
      </c>
      <c r="I575" s="117">
        <v>2166.42</v>
      </c>
    </row>
    <row r="576" spans="1:9">
      <c r="A576" s="116">
        <v>3081</v>
      </c>
      <c r="B576" s="91">
        <v>3.92</v>
      </c>
      <c r="C576" s="92">
        <v>0.99250000000000005</v>
      </c>
      <c r="D576" s="94">
        <v>55357142.857142858</v>
      </c>
      <c r="E576" s="91">
        <f>VLOOKUP(3081,收盤價!A:C,3,0)</f>
        <v>408</v>
      </c>
      <c r="F576" s="93">
        <v>22585714285.714287</v>
      </c>
      <c r="G576" s="93">
        <v>1693676000</v>
      </c>
      <c r="H576" s="117">
        <v>13.34</v>
      </c>
      <c r="I576" s="117">
        <v>26.22</v>
      </c>
    </row>
    <row r="577" spans="1:9">
      <c r="A577" s="116">
        <v>3083</v>
      </c>
      <c r="B577" s="91">
        <v>-0.9</v>
      </c>
      <c r="C577" s="92">
        <v>1</v>
      </c>
      <c r="D577" s="94">
        <v>85555555.555555552</v>
      </c>
      <c r="E577" s="91">
        <f>VLOOKUP(3083,收盤價!A:C,3,0)</f>
        <v>44</v>
      </c>
      <c r="F577" s="93">
        <v>3764444444.4444442</v>
      </c>
      <c r="G577" s="93">
        <v>316442000</v>
      </c>
      <c r="H577" s="117">
        <v>11.9</v>
      </c>
      <c r="I577" s="117">
        <v>0</v>
      </c>
    </row>
    <row r="578" spans="1:9">
      <c r="A578" s="116">
        <v>3085</v>
      </c>
      <c r="B578" s="91">
        <v>-0.02</v>
      </c>
      <c r="C578" s="92">
        <v>1</v>
      </c>
      <c r="D578" s="94">
        <v>100000000</v>
      </c>
      <c r="E578" s="91">
        <f>VLOOKUP(3085,收盤價!A:C,3,0)</f>
        <v>7.14</v>
      </c>
      <c r="F578" s="93">
        <v>714000000</v>
      </c>
      <c r="G578" s="93">
        <v>343265000</v>
      </c>
      <c r="H578" s="117">
        <v>2.08</v>
      </c>
      <c r="I578" s="117">
        <v>0</v>
      </c>
    </row>
    <row r="579" spans="1:9">
      <c r="A579" s="116">
        <v>3086</v>
      </c>
      <c r="B579" s="91">
        <v>-0.52</v>
      </c>
      <c r="C579" s="92">
        <v>0.93650793650793651</v>
      </c>
      <c r="D579" s="94">
        <v>59615384.615384616</v>
      </c>
      <c r="E579" s="91">
        <f>VLOOKUP(3086,收盤價!A:C,3,0)</f>
        <v>13.4</v>
      </c>
      <c r="F579" s="93">
        <v>798846153.84615386</v>
      </c>
      <c r="G579" s="93">
        <v>404554000</v>
      </c>
      <c r="H579" s="117">
        <v>1.97</v>
      </c>
      <c r="I579" s="117">
        <v>0</v>
      </c>
    </row>
    <row r="580" spans="1:9">
      <c r="A580" s="116">
        <v>3088</v>
      </c>
      <c r="B580" s="91">
        <v>0.97</v>
      </c>
      <c r="C580" s="92">
        <v>1</v>
      </c>
      <c r="D580" s="94">
        <v>79381443.298969075</v>
      </c>
      <c r="E580" s="91">
        <f>VLOOKUP(3088,收盤價!A:C,3,0)</f>
        <v>68.400000000000006</v>
      </c>
      <c r="F580" s="93">
        <v>5429690721.6494856</v>
      </c>
      <c r="G580" s="93">
        <v>4456608000</v>
      </c>
      <c r="H580" s="117">
        <v>1.22</v>
      </c>
      <c r="I580" s="117">
        <v>17.63</v>
      </c>
    </row>
    <row r="581" spans="1:9">
      <c r="A581" s="116">
        <v>3089</v>
      </c>
      <c r="B581" s="91">
        <v>-1.1599999999999999</v>
      </c>
      <c r="C581" s="92">
        <v>0.76237623762376239</v>
      </c>
      <c r="D581" s="94">
        <v>69827586.206896558</v>
      </c>
      <c r="E581" s="91">
        <f>VLOOKUP(3089,收盤價!A:C,3,0)</f>
        <v>22</v>
      </c>
      <c r="F581" s="93">
        <v>1536206896.5517242</v>
      </c>
      <c r="G581" s="93">
        <v>393477000</v>
      </c>
      <c r="H581" s="117">
        <v>3.9</v>
      </c>
      <c r="I581" s="117">
        <v>0</v>
      </c>
    </row>
    <row r="582" spans="1:9">
      <c r="A582" s="116">
        <v>3090</v>
      </c>
      <c r="B582" s="91">
        <v>0.28000000000000003</v>
      </c>
      <c r="C582" s="92">
        <v>1</v>
      </c>
      <c r="D582" s="94">
        <v>167857142.85714284</v>
      </c>
      <c r="E582" s="91">
        <f>VLOOKUP(3090,收盤價!A:C,3,0)</f>
        <v>23.75</v>
      </c>
      <c r="F582" s="93">
        <v>3986607142.8571424</v>
      </c>
      <c r="G582" s="93">
        <v>8359269000</v>
      </c>
      <c r="H582" s="117">
        <v>0.48</v>
      </c>
      <c r="I582" s="117">
        <v>21.21</v>
      </c>
    </row>
    <row r="583" spans="1:9">
      <c r="A583" s="116">
        <v>3093</v>
      </c>
      <c r="B583" s="91">
        <v>0.27</v>
      </c>
      <c r="C583" s="92">
        <v>0.96</v>
      </c>
      <c r="D583" s="94">
        <v>37037037.037037037</v>
      </c>
      <c r="E583" s="91">
        <f>VLOOKUP(3093,收盤價!A:C,3,0)</f>
        <v>28.45</v>
      </c>
      <c r="F583" s="93">
        <v>1053703703.7037036</v>
      </c>
      <c r="G583" s="93">
        <v>925071000</v>
      </c>
      <c r="H583" s="117">
        <v>1.1399999999999999</v>
      </c>
      <c r="I583" s="117">
        <v>27.44</v>
      </c>
    </row>
    <row r="584" spans="1:9">
      <c r="A584" s="116">
        <v>3094</v>
      </c>
      <c r="B584" s="91">
        <v>0.33</v>
      </c>
      <c r="C584" s="92">
        <v>0.69444444444444442</v>
      </c>
      <c r="D584" s="94">
        <v>81818181.818181813</v>
      </c>
      <c r="E584" s="91">
        <f>VLOOKUP(3094,收盤價!A:C,3,0)</f>
        <v>29</v>
      </c>
      <c r="F584" s="93">
        <v>2372727272.7272725</v>
      </c>
      <c r="G584" s="93">
        <v>318261000</v>
      </c>
      <c r="H584" s="117">
        <v>7.46</v>
      </c>
      <c r="I584" s="117">
        <v>31.64</v>
      </c>
    </row>
    <row r="585" spans="1:9">
      <c r="A585" s="116">
        <v>3095</v>
      </c>
      <c r="B585" s="91">
        <v>-1.1100000000000001</v>
      </c>
      <c r="C585" s="92">
        <v>1</v>
      </c>
      <c r="D585" s="94">
        <v>109009009.009009</v>
      </c>
      <c r="E585" s="91">
        <f>VLOOKUP(3095,收盤價!A:C,3,0)</f>
        <v>7.6</v>
      </c>
      <c r="F585" s="93">
        <v>828468468.46846843</v>
      </c>
      <c r="G585" s="93">
        <v>5248248000</v>
      </c>
      <c r="H585" s="117">
        <v>0.16</v>
      </c>
      <c r="I585" s="117">
        <v>0</v>
      </c>
    </row>
    <row r="586" spans="1:9">
      <c r="A586" s="116">
        <v>1414</v>
      </c>
      <c r="B586" s="91">
        <v>-0.02</v>
      </c>
      <c r="C586" s="92">
        <v>0.75</v>
      </c>
      <c r="D586" s="94">
        <v>200000000</v>
      </c>
      <c r="E586" s="91">
        <f>VLOOKUP(1414,收盤價!A:C,3,0)</f>
        <v>6.9</v>
      </c>
      <c r="F586" s="93">
        <v>1380000000</v>
      </c>
      <c r="G586" s="93">
        <v>1192688000</v>
      </c>
      <c r="H586" s="117">
        <v>1.1599999999999999</v>
      </c>
      <c r="I586" s="117">
        <v>0</v>
      </c>
    </row>
    <row r="587" spans="1:9">
      <c r="A587" s="116">
        <v>3114</v>
      </c>
      <c r="B587" s="91">
        <v>0.04</v>
      </c>
      <c r="C587" s="92">
        <v>1</v>
      </c>
      <c r="D587" s="94">
        <v>50000000</v>
      </c>
      <c r="E587" s="91">
        <f>VLOOKUP(3114,收盤價!A:C,3,0)</f>
        <v>12.65</v>
      </c>
      <c r="F587" s="93">
        <v>632500000</v>
      </c>
      <c r="G587" s="93">
        <v>1890114000</v>
      </c>
      <c r="H587" s="117">
        <v>0.33</v>
      </c>
      <c r="I587" s="117">
        <v>79.06</v>
      </c>
    </row>
    <row r="588" spans="1:9">
      <c r="A588" s="116">
        <v>3115</v>
      </c>
      <c r="B588" s="91">
        <v>0.17</v>
      </c>
      <c r="C588" s="92">
        <v>0</v>
      </c>
      <c r="D588" s="94">
        <v>47058823.529411763</v>
      </c>
      <c r="E588" s="91">
        <f>VLOOKUP(3115,收盤價!A:C,3,0)</f>
        <v>9.99</v>
      </c>
      <c r="F588" s="93">
        <v>470117647.05882353</v>
      </c>
      <c r="G588" s="93">
        <v>874355000</v>
      </c>
      <c r="H588" s="117">
        <v>0.54</v>
      </c>
      <c r="I588" s="117">
        <v>0</v>
      </c>
    </row>
    <row r="589" spans="1:9">
      <c r="A589" s="116">
        <v>3118</v>
      </c>
      <c r="B589" s="91">
        <v>0.64</v>
      </c>
      <c r="C589" s="92">
        <v>0.86486486486486491</v>
      </c>
      <c r="D589" s="94">
        <v>32812500</v>
      </c>
      <c r="E589" s="91">
        <f>VLOOKUP(3118,收盤價!A:C,3,0)</f>
        <v>37</v>
      </c>
      <c r="F589" s="93">
        <v>1214062500</v>
      </c>
      <c r="G589" s="93">
        <v>534605000</v>
      </c>
      <c r="H589" s="117">
        <v>2.27</v>
      </c>
      <c r="I589" s="117">
        <v>16.71</v>
      </c>
    </row>
    <row r="590" spans="1:9">
      <c r="A590" s="116">
        <v>3122</v>
      </c>
      <c r="B590" s="91">
        <v>0.28999999999999998</v>
      </c>
      <c r="C590" s="92">
        <v>0.94117647058823528</v>
      </c>
      <c r="D590" s="94">
        <v>37931034.482758626</v>
      </c>
      <c r="E590" s="91">
        <f>VLOOKUP(3122,收盤價!A:C,3,0)</f>
        <v>16.8</v>
      </c>
      <c r="F590" s="93">
        <v>637241379.31034493</v>
      </c>
      <c r="G590" s="93">
        <v>548294000</v>
      </c>
      <c r="H590" s="117">
        <v>1.1599999999999999</v>
      </c>
      <c r="I590" s="117">
        <v>15.39</v>
      </c>
    </row>
    <row r="591" spans="1:9">
      <c r="A591" s="116">
        <v>3126</v>
      </c>
      <c r="B591" s="91">
        <v>0.5</v>
      </c>
      <c r="C591" s="92">
        <v>1</v>
      </c>
      <c r="D591" s="94">
        <v>48000000</v>
      </c>
      <c r="E591" s="91" t="e">
        <f>VLOOKUP(3126,收盤價!A:C,3,0)</f>
        <v>#N/A</v>
      </c>
      <c r="F591" s="93">
        <v>48000000</v>
      </c>
      <c r="G591" s="93">
        <v>2193122000</v>
      </c>
    </row>
    <row r="592" spans="1:9">
      <c r="A592" s="116">
        <v>3128</v>
      </c>
      <c r="B592" s="91">
        <v>0.13</v>
      </c>
      <c r="C592" s="92">
        <v>0.33333333333333331</v>
      </c>
      <c r="D592" s="94">
        <v>46153846.153846152</v>
      </c>
      <c r="E592" s="91">
        <f>VLOOKUP(3128,收盤價!A:C,3,0)</f>
        <v>13.8</v>
      </c>
      <c r="F592" s="93">
        <v>636923076.92307699</v>
      </c>
      <c r="G592" s="93">
        <v>715120000</v>
      </c>
      <c r="H592" s="117">
        <v>0.89</v>
      </c>
      <c r="I592" s="117">
        <v>79.62</v>
      </c>
    </row>
    <row r="593" spans="1:9">
      <c r="A593" s="116">
        <v>3130</v>
      </c>
      <c r="B593" s="91">
        <v>3.21</v>
      </c>
      <c r="C593" s="92">
        <v>0.94285714285714284</v>
      </c>
      <c r="D593" s="94">
        <v>33021806.853582554</v>
      </c>
      <c r="E593" s="91">
        <f>VLOOKUP(3130,收盤價!A:C,3,0)</f>
        <v>151.5</v>
      </c>
      <c r="F593" s="93">
        <v>5002803738.3177567</v>
      </c>
      <c r="G593" s="93">
        <v>2569596000</v>
      </c>
      <c r="H593" s="117">
        <v>1.95</v>
      </c>
      <c r="I593" s="117">
        <v>12.51</v>
      </c>
    </row>
    <row r="594" spans="1:9">
      <c r="A594" s="116">
        <v>3131</v>
      </c>
      <c r="B594" s="91">
        <v>2.67</v>
      </c>
      <c r="C594" s="92">
        <v>1</v>
      </c>
      <c r="D594" s="94">
        <v>24719101.123595506</v>
      </c>
      <c r="E594" s="91">
        <f>VLOOKUP(3131,收盤價!A:C,3,0)</f>
        <v>176</v>
      </c>
      <c r="F594" s="93">
        <v>4350561797.7528095</v>
      </c>
      <c r="G594" s="93">
        <v>1911048000</v>
      </c>
      <c r="H594" s="117">
        <v>2.2799999999999998</v>
      </c>
      <c r="I594" s="117">
        <v>16.48</v>
      </c>
    </row>
    <row r="595" spans="1:9">
      <c r="A595" s="116">
        <v>3141</v>
      </c>
      <c r="B595" s="91">
        <v>0.17</v>
      </c>
      <c r="C595" s="92">
        <v>1</v>
      </c>
      <c r="D595" s="94">
        <v>105882352.94117646</v>
      </c>
      <c r="E595" s="91">
        <f>VLOOKUP(3141,收盤價!A:C,3,0)</f>
        <v>20.6</v>
      </c>
      <c r="F595" s="93">
        <v>2181176470.5882354</v>
      </c>
      <c r="G595" s="93">
        <v>1033274000</v>
      </c>
      <c r="H595" s="117">
        <v>2.11</v>
      </c>
      <c r="I595" s="117">
        <v>30.29</v>
      </c>
    </row>
    <row r="596" spans="1:9">
      <c r="A596" s="116">
        <v>3144</v>
      </c>
      <c r="B596" s="91">
        <v>0.39</v>
      </c>
      <c r="C596" s="92">
        <v>1</v>
      </c>
      <c r="D596" s="94">
        <v>102564102.56410256</v>
      </c>
      <c r="E596" s="91">
        <f>VLOOKUP(3144,收盤價!A:C,3,0)</f>
        <v>17.2</v>
      </c>
      <c r="F596" s="93">
        <v>1764102564.1025639</v>
      </c>
      <c r="G596" s="93">
        <v>2042927000</v>
      </c>
      <c r="H596" s="117">
        <v>0.86</v>
      </c>
      <c r="I596" s="117">
        <v>11.03</v>
      </c>
    </row>
    <row r="597" spans="1:9">
      <c r="A597" s="116">
        <v>1464</v>
      </c>
      <c r="B597" s="91">
        <v>0.32</v>
      </c>
      <c r="C597" s="92">
        <v>0.65384615384615385</v>
      </c>
      <c r="D597" s="94">
        <v>218750000</v>
      </c>
      <c r="E597" s="91">
        <f>VLOOKUP(1464,收盤價!A:C,3,0)</f>
        <v>35.4</v>
      </c>
      <c r="F597" s="93">
        <v>7743750000</v>
      </c>
      <c r="G597" s="93">
        <v>6561254000</v>
      </c>
      <c r="H597" s="117">
        <v>1.18</v>
      </c>
      <c r="I597" s="117">
        <v>42.3</v>
      </c>
    </row>
    <row r="598" spans="1:9">
      <c r="A598" s="116">
        <v>3152</v>
      </c>
      <c r="B598" s="91">
        <v>2.5</v>
      </c>
      <c r="C598" s="92">
        <v>1</v>
      </c>
      <c r="D598" s="94">
        <v>68800000</v>
      </c>
      <c r="E598" s="91">
        <f>VLOOKUP(3152,收盤價!A:C,3,0)</f>
        <v>210.5</v>
      </c>
      <c r="F598" s="93">
        <v>14482400000</v>
      </c>
      <c r="G598" s="93">
        <v>1544060000</v>
      </c>
      <c r="H598" s="117">
        <v>9.3800000000000008</v>
      </c>
      <c r="I598" s="117">
        <v>21.05</v>
      </c>
    </row>
    <row r="599" spans="1:9">
      <c r="A599" s="116">
        <v>3162</v>
      </c>
      <c r="B599" s="91">
        <v>-0.04</v>
      </c>
      <c r="C599" s="92">
        <v>0</v>
      </c>
      <c r="D599" s="94">
        <v>50000000</v>
      </c>
      <c r="E599" s="91">
        <f>VLOOKUP(3162,收盤價!A:C,3,0)</f>
        <v>6.17</v>
      </c>
      <c r="F599" s="93">
        <v>308500000</v>
      </c>
      <c r="G599" s="93">
        <v>827964000</v>
      </c>
      <c r="H599" s="117">
        <v>0.37</v>
      </c>
      <c r="I599" s="117">
        <v>0</v>
      </c>
    </row>
    <row r="600" spans="1:9">
      <c r="A600" s="116">
        <v>3163</v>
      </c>
      <c r="B600" s="91">
        <v>0.05</v>
      </c>
      <c r="C600" s="92">
        <v>0.8</v>
      </c>
      <c r="D600" s="94">
        <v>80000000</v>
      </c>
      <c r="E600" s="91">
        <f>VLOOKUP(3163,收盤價!A:C,3,0)</f>
        <v>39.4</v>
      </c>
      <c r="F600" s="93">
        <v>3152000000</v>
      </c>
      <c r="G600" s="93">
        <v>2236676000</v>
      </c>
      <c r="H600" s="117">
        <v>1.41</v>
      </c>
      <c r="I600" s="117">
        <v>246.25</v>
      </c>
    </row>
    <row r="601" spans="1:9">
      <c r="A601" s="116">
        <v>3164</v>
      </c>
      <c r="B601" s="91">
        <v>-0.28000000000000003</v>
      </c>
      <c r="C601" s="92">
        <v>0.94230769230769229</v>
      </c>
      <c r="D601" s="94">
        <v>89285714.285714284</v>
      </c>
      <c r="E601" s="91">
        <f>VLOOKUP(3164,收盤價!A:C,3,0)</f>
        <v>30.15</v>
      </c>
      <c r="F601" s="93">
        <v>2691964285.7142854</v>
      </c>
      <c r="G601" s="93">
        <v>518336000</v>
      </c>
      <c r="H601" s="117">
        <v>5.19</v>
      </c>
      <c r="I601" s="117">
        <v>0</v>
      </c>
    </row>
    <row r="602" spans="1:9">
      <c r="A602" s="116">
        <v>3167</v>
      </c>
      <c r="B602" s="91">
        <v>1.07</v>
      </c>
      <c r="C602" s="92">
        <v>0.91489361702127658</v>
      </c>
      <c r="D602" s="94">
        <v>79439252.336448595</v>
      </c>
      <c r="E602" s="91">
        <f>VLOOKUP(3167,收盤價!A:C,3,0)</f>
        <v>28.9</v>
      </c>
      <c r="F602" s="93">
        <v>2295794392.5233641</v>
      </c>
      <c r="G602" s="93">
        <v>2227339000</v>
      </c>
      <c r="H602" s="117">
        <v>1.03</v>
      </c>
      <c r="I602" s="117">
        <v>7.38</v>
      </c>
    </row>
    <row r="603" spans="1:9">
      <c r="A603" s="116">
        <v>3169</v>
      </c>
      <c r="B603" s="91">
        <v>0.08</v>
      </c>
      <c r="C603" s="92">
        <v>0.75</v>
      </c>
      <c r="D603" s="94">
        <v>50000000</v>
      </c>
      <c r="E603" s="91">
        <f>VLOOKUP(3169,收盤價!A:C,3,0)</f>
        <v>31</v>
      </c>
      <c r="F603" s="93">
        <v>1550000000</v>
      </c>
      <c r="G603" s="93">
        <v>550433000</v>
      </c>
      <c r="H603" s="117">
        <v>2.82</v>
      </c>
      <c r="I603" s="117">
        <v>129.16999999999999</v>
      </c>
    </row>
    <row r="604" spans="1:9">
      <c r="A604" s="116">
        <v>3171</v>
      </c>
      <c r="B604" s="91">
        <v>0.49</v>
      </c>
      <c r="C604" s="92">
        <v>1</v>
      </c>
      <c r="D604" s="94">
        <v>59183673.469387755</v>
      </c>
      <c r="E604" s="91">
        <f>VLOOKUP(3171,收盤價!A:C,3,0)</f>
        <v>18</v>
      </c>
      <c r="F604" s="93">
        <v>1065306122.4489796</v>
      </c>
      <c r="G604" s="93">
        <v>1753373000</v>
      </c>
      <c r="H604" s="117">
        <v>0.61</v>
      </c>
      <c r="I604" s="117">
        <v>9.18</v>
      </c>
    </row>
    <row r="605" spans="1:9">
      <c r="A605" s="116">
        <v>3176</v>
      </c>
      <c r="B605" s="91">
        <v>-0.82</v>
      </c>
      <c r="C605" s="92">
        <v>1</v>
      </c>
      <c r="D605" s="94">
        <v>139024390.24390244</v>
      </c>
      <c r="E605" s="91">
        <f>VLOOKUP(3176,收盤價!A:C,3,0)</f>
        <v>93.7</v>
      </c>
      <c r="F605" s="93">
        <v>13026585365.853659</v>
      </c>
      <c r="G605" s="93">
        <v>367647000</v>
      </c>
      <c r="H605" s="117">
        <v>35.43</v>
      </c>
      <c r="I605" s="117">
        <v>0</v>
      </c>
    </row>
    <row r="606" spans="1:9">
      <c r="A606" s="116">
        <v>3188</v>
      </c>
      <c r="B606" s="91">
        <v>-0.15</v>
      </c>
      <c r="C606" s="92">
        <v>0.75</v>
      </c>
      <c r="D606" s="94">
        <v>46666666.666666672</v>
      </c>
      <c r="E606" s="91">
        <f>VLOOKUP(3188,收盤價!A:C,3,0)</f>
        <v>9.91</v>
      </c>
      <c r="F606" s="93">
        <v>462466666.66666675</v>
      </c>
      <c r="G606" s="93">
        <v>189861000</v>
      </c>
      <c r="H606" s="117">
        <v>2.44</v>
      </c>
      <c r="I606" s="117">
        <v>0</v>
      </c>
    </row>
    <row r="607" spans="1:9">
      <c r="A607" s="116">
        <v>2705</v>
      </c>
      <c r="B607" s="91">
        <v>-0.03</v>
      </c>
      <c r="C607" s="92">
        <v>1</v>
      </c>
      <c r="D607" s="94">
        <v>333333333.33333337</v>
      </c>
      <c r="E607" s="91">
        <f>VLOOKUP(2705,收盤價!A:C,3,0)</f>
        <v>10.25</v>
      </c>
      <c r="F607" s="93">
        <v>3416666666.666667</v>
      </c>
      <c r="G607" s="93">
        <v>2892296000</v>
      </c>
      <c r="H607" s="117">
        <v>1.18</v>
      </c>
      <c r="I607" s="117">
        <v>0</v>
      </c>
    </row>
    <row r="608" spans="1:9">
      <c r="A608" s="116">
        <v>3191</v>
      </c>
      <c r="B608" s="91">
        <v>-0.51</v>
      </c>
      <c r="C608" s="92">
        <v>1</v>
      </c>
      <c r="D608" s="94">
        <v>54901960.784313723</v>
      </c>
      <c r="E608" s="91">
        <f>VLOOKUP(3191,收盤價!A:C,3,0)</f>
        <v>17.2</v>
      </c>
      <c r="F608" s="93">
        <v>944313725.49019599</v>
      </c>
      <c r="G608" s="93">
        <v>723283000</v>
      </c>
      <c r="H608" s="117">
        <v>1.31</v>
      </c>
      <c r="I608" s="117">
        <v>0</v>
      </c>
    </row>
    <row r="609" spans="1:9">
      <c r="A609" s="116">
        <v>3202</v>
      </c>
      <c r="B609" s="91">
        <v>-0.23</v>
      </c>
      <c r="C609" s="92">
        <v>1</v>
      </c>
      <c r="D609" s="94">
        <v>100000000</v>
      </c>
      <c r="E609" s="91">
        <f>VLOOKUP(3202,收盤價!A:C,3,0)</f>
        <v>6.76</v>
      </c>
      <c r="F609" s="93">
        <v>676000000</v>
      </c>
      <c r="G609" s="93">
        <v>2251052000</v>
      </c>
      <c r="H609" s="117">
        <v>0.3</v>
      </c>
      <c r="I609" s="117">
        <v>0</v>
      </c>
    </row>
    <row r="610" spans="1:9">
      <c r="A610" s="116">
        <v>3205</v>
      </c>
      <c r="B610" s="91">
        <v>1.25</v>
      </c>
      <c r="C610" s="92">
        <v>1</v>
      </c>
      <c r="D610" s="94">
        <v>24800000</v>
      </c>
      <c r="E610" s="91">
        <f>VLOOKUP(3205,收盤價!A:C,3,0)</f>
        <v>210.5</v>
      </c>
      <c r="F610" s="93">
        <v>5220400000</v>
      </c>
      <c r="G610" s="93">
        <v>824091000</v>
      </c>
      <c r="H610" s="117">
        <v>6.33</v>
      </c>
      <c r="I610" s="117">
        <v>42.1</v>
      </c>
    </row>
    <row r="611" spans="1:9">
      <c r="A611" s="116">
        <v>3206</v>
      </c>
      <c r="B611" s="91">
        <v>0.82</v>
      </c>
      <c r="C611" s="92">
        <v>0.94</v>
      </c>
      <c r="D611" s="94">
        <v>43902439.024390243</v>
      </c>
      <c r="E611" s="91">
        <f>VLOOKUP(3206,收盤價!A:C,3,0)</f>
        <v>24.95</v>
      </c>
      <c r="F611" s="93">
        <v>1095365853.6585364</v>
      </c>
      <c r="G611" s="93">
        <v>1543485000</v>
      </c>
      <c r="H611" s="117">
        <v>0.71</v>
      </c>
      <c r="I611" s="117">
        <v>8.09</v>
      </c>
    </row>
    <row r="612" spans="1:9">
      <c r="A612" s="116">
        <v>3207</v>
      </c>
      <c r="B612" s="91">
        <v>-0.43</v>
      </c>
      <c r="C612" s="92">
        <v>1</v>
      </c>
      <c r="D612" s="94">
        <v>39534883.720930234</v>
      </c>
      <c r="E612" s="91">
        <f>VLOOKUP(3207,收盤價!A:C,3,0)</f>
        <v>9.07</v>
      </c>
      <c r="F612" s="93">
        <v>358581395.34883726</v>
      </c>
      <c r="G612" s="93">
        <v>1012116000</v>
      </c>
      <c r="H612" s="117">
        <v>0.35</v>
      </c>
      <c r="I612" s="117">
        <v>0</v>
      </c>
    </row>
    <row r="613" spans="1:9">
      <c r="A613" s="116">
        <v>3209</v>
      </c>
      <c r="B613" s="91">
        <v>0.44</v>
      </c>
      <c r="C613" s="92">
        <v>1</v>
      </c>
      <c r="D613" s="94">
        <v>104545454.54545455</v>
      </c>
      <c r="E613" s="91">
        <f>VLOOKUP(3209,收盤價!A:C,3,0)</f>
        <v>24.9</v>
      </c>
      <c r="F613" s="93">
        <v>2603181818.181818</v>
      </c>
      <c r="G613" s="93">
        <v>23238982000</v>
      </c>
      <c r="H613" s="117">
        <v>0.11</v>
      </c>
      <c r="I613" s="117">
        <v>14.15</v>
      </c>
    </row>
    <row r="614" spans="1:9">
      <c r="A614" s="116">
        <v>3211</v>
      </c>
      <c r="B614" s="91">
        <v>0.7</v>
      </c>
      <c r="C614" s="92">
        <v>0.15830115830115829</v>
      </c>
      <c r="D614" s="94">
        <v>152857142.85714287</v>
      </c>
      <c r="E614" s="91">
        <f>VLOOKUP(3211,收盤價!A:C,3,0)</f>
        <v>53</v>
      </c>
      <c r="F614" s="93">
        <v>8101428571.4285717</v>
      </c>
      <c r="G614" s="93">
        <v>22340108000</v>
      </c>
      <c r="H614" s="117">
        <v>0.36</v>
      </c>
      <c r="I614" s="117">
        <v>119.57</v>
      </c>
    </row>
    <row r="615" spans="1:9">
      <c r="A615" s="116">
        <v>3213</v>
      </c>
      <c r="B615" s="91">
        <v>0.5</v>
      </c>
      <c r="C615" s="92">
        <v>0.9363636363636364</v>
      </c>
      <c r="D615" s="94">
        <v>58000000</v>
      </c>
      <c r="E615" s="91">
        <f>VLOOKUP(3213,收盤價!A:C,3,0)</f>
        <v>40.450000000000003</v>
      </c>
      <c r="F615" s="93">
        <v>2346100000</v>
      </c>
      <c r="G615" s="93">
        <v>2157491000</v>
      </c>
      <c r="H615" s="117">
        <v>1.0900000000000001</v>
      </c>
      <c r="I615" s="117">
        <v>21.6</v>
      </c>
    </row>
    <row r="616" spans="1:9">
      <c r="A616" s="116">
        <v>3217</v>
      </c>
      <c r="B616" s="91">
        <v>0.14000000000000001</v>
      </c>
      <c r="C616" s="92">
        <v>0.7931034482758621</v>
      </c>
      <c r="D616" s="94">
        <v>85714285.714285702</v>
      </c>
      <c r="E616" s="91">
        <f>VLOOKUP(3217,收盤價!A:C,3,0)</f>
        <v>12.85</v>
      </c>
      <c r="F616" s="93">
        <v>1101428571.4285712</v>
      </c>
      <c r="G616" s="93">
        <v>1223318000</v>
      </c>
      <c r="H616" s="117">
        <v>0.9</v>
      </c>
      <c r="I616" s="117">
        <v>28.93</v>
      </c>
    </row>
    <row r="617" spans="1:9">
      <c r="A617" s="116">
        <v>3218</v>
      </c>
      <c r="B617" s="91">
        <v>0.3</v>
      </c>
      <c r="C617" s="92">
        <v>1</v>
      </c>
      <c r="D617" s="94">
        <v>66666666.666666672</v>
      </c>
      <c r="E617" s="91">
        <f>VLOOKUP(3218,收盤價!A:C,3,0)</f>
        <v>25.6</v>
      </c>
      <c r="F617" s="93">
        <v>1706666666.666667</v>
      </c>
      <c r="G617" s="93">
        <v>1009951000</v>
      </c>
      <c r="H617" s="117">
        <v>1.69</v>
      </c>
      <c r="I617" s="117">
        <v>21.33</v>
      </c>
    </row>
    <row r="618" spans="1:9">
      <c r="A618" s="116">
        <v>3219</v>
      </c>
      <c r="B618" s="91">
        <v>-0.01</v>
      </c>
      <c r="C618" s="92">
        <v>0</v>
      </c>
      <c r="D618" s="94">
        <v>0</v>
      </c>
      <c r="E618" s="91">
        <f>VLOOKUP(3219,收盤價!A:C,3,0)</f>
        <v>12.3</v>
      </c>
      <c r="F618" s="93">
        <v>0</v>
      </c>
      <c r="G618" s="93">
        <v>229494000</v>
      </c>
      <c r="H618" s="117">
        <v>0</v>
      </c>
      <c r="I618" s="117">
        <v>0</v>
      </c>
    </row>
    <row r="619" spans="1:9">
      <c r="A619" s="116">
        <v>3221</v>
      </c>
      <c r="B619" s="91">
        <v>0</v>
      </c>
      <c r="C619" s="92">
        <v>0</v>
      </c>
      <c r="D619" s="94">
        <v>0</v>
      </c>
      <c r="E619" s="91">
        <f>VLOOKUP(3221,收盤價!A:C,3,0)</f>
        <v>16.8</v>
      </c>
      <c r="F619" s="93">
        <v>0</v>
      </c>
      <c r="G619" s="93">
        <v>1688136000</v>
      </c>
      <c r="H619" s="117">
        <v>0</v>
      </c>
      <c r="I619" s="117">
        <v>0</v>
      </c>
    </row>
    <row r="620" spans="1:9">
      <c r="A620" s="116">
        <v>3224</v>
      </c>
      <c r="B620" s="91">
        <v>-0.11</v>
      </c>
      <c r="C620" s="92">
        <v>1</v>
      </c>
      <c r="D620" s="94">
        <v>45454545.454545453</v>
      </c>
      <c r="E620" s="91">
        <f>VLOOKUP(3224,收盤價!A:C,3,0)</f>
        <v>33</v>
      </c>
      <c r="F620" s="93">
        <v>1500000000</v>
      </c>
      <c r="G620" s="93">
        <v>2080723000</v>
      </c>
      <c r="H620" s="117">
        <v>0.72</v>
      </c>
      <c r="I620" s="117">
        <v>0</v>
      </c>
    </row>
    <row r="621" spans="1:9">
      <c r="A621" s="116">
        <v>3226</v>
      </c>
      <c r="B621" s="91">
        <v>0.59</v>
      </c>
      <c r="C621" s="92">
        <v>1</v>
      </c>
      <c r="D621" s="94">
        <v>64406779.661016956</v>
      </c>
      <c r="E621" s="91">
        <f>VLOOKUP(3226,收盤價!A:C,3,0)</f>
        <v>50</v>
      </c>
      <c r="F621" s="93">
        <v>3220338983.050848</v>
      </c>
      <c r="G621" s="93">
        <v>977389000</v>
      </c>
      <c r="H621" s="117">
        <v>3.29</v>
      </c>
      <c r="I621" s="117">
        <v>21.19</v>
      </c>
    </row>
    <row r="622" spans="1:9">
      <c r="A622" s="116">
        <v>3227</v>
      </c>
      <c r="B622" s="91">
        <v>0.51</v>
      </c>
      <c r="C622" s="92">
        <v>0.73571428571428577</v>
      </c>
      <c r="D622" s="94">
        <v>127450980.39215685</v>
      </c>
      <c r="E622" s="91">
        <f>VLOOKUP(3227,收盤價!A:C,3,0)</f>
        <v>77.2</v>
      </c>
      <c r="F622" s="93">
        <v>9839215686.2745094</v>
      </c>
      <c r="G622" s="93">
        <v>4377126000</v>
      </c>
      <c r="H622" s="117">
        <v>2.25</v>
      </c>
      <c r="I622" s="117">
        <v>51.44</v>
      </c>
    </row>
    <row r="623" spans="1:9">
      <c r="A623" s="116">
        <v>3228</v>
      </c>
      <c r="B623" s="91">
        <v>-0.16</v>
      </c>
      <c r="C623" s="92">
        <v>1</v>
      </c>
      <c r="D623" s="94">
        <v>62500000</v>
      </c>
      <c r="E623" s="91">
        <f>VLOOKUP(3228,收盤價!A:C,3,0)</f>
        <v>23.65</v>
      </c>
      <c r="F623" s="93">
        <v>1478125000</v>
      </c>
      <c r="G623" s="93">
        <v>277683000</v>
      </c>
      <c r="H623" s="117">
        <v>5.32</v>
      </c>
      <c r="I623" s="117">
        <v>0</v>
      </c>
    </row>
    <row r="624" spans="1:9">
      <c r="A624" s="116">
        <v>3229</v>
      </c>
      <c r="B624" s="91">
        <v>-0.05</v>
      </c>
      <c r="C624" s="92">
        <v>0.44444444444444442</v>
      </c>
      <c r="D624" s="94">
        <v>100000000</v>
      </c>
      <c r="E624" s="91">
        <f>VLOOKUP(3229,收盤價!A:C,3,0)</f>
        <v>20.2</v>
      </c>
      <c r="F624" s="93">
        <v>2020000000</v>
      </c>
      <c r="G624" s="93">
        <v>771286000</v>
      </c>
      <c r="H624" s="117">
        <v>2.62</v>
      </c>
      <c r="I624" s="117">
        <v>0</v>
      </c>
    </row>
    <row r="625" spans="1:9">
      <c r="A625" s="116">
        <v>3230</v>
      </c>
      <c r="B625" s="91">
        <v>-0.26</v>
      </c>
      <c r="C625" s="92">
        <v>1</v>
      </c>
      <c r="D625" s="94">
        <v>107692307.6923077</v>
      </c>
      <c r="E625" s="91">
        <f>VLOOKUP(3230,收盤價!A:C,3,0)</f>
        <v>6.72</v>
      </c>
      <c r="F625" s="93">
        <v>723692307.69230771</v>
      </c>
      <c r="G625" s="93">
        <v>1863740000</v>
      </c>
      <c r="H625" s="117">
        <v>0.39</v>
      </c>
      <c r="I625" s="117">
        <v>0</v>
      </c>
    </row>
    <row r="626" spans="1:9">
      <c r="A626" s="116">
        <v>3231</v>
      </c>
      <c r="B626" s="91">
        <v>0.03</v>
      </c>
      <c r="C626" s="92">
        <v>0.54625000000000001</v>
      </c>
      <c r="D626" s="94">
        <v>2566666666.666667</v>
      </c>
      <c r="E626" s="91">
        <f>VLOOKUP(3231,收盤價!A:C,3,0)</f>
        <v>17.75</v>
      </c>
      <c r="F626" s="93">
        <v>45558333333.333336</v>
      </c>
      <c r="G626" s="93">
        <v>624403397000</v>
      </c>
      <c r="H626" s="117">
        <v>7.0000000000000007E-2</v>
      </c>
      <c r="I626" s="117">
        <v>270.79000000000002</v>
      </c>
    </row>
    <row r="627" spans="1:9">
      <c r="A627" s="116">
        <v>3232</v>
      </c>
      <c r="B627" s="91">
        <v>0.41</v>
      </c>
      <c r="C627" s="92">
        <v>1</v>
      </c>
      <c r="D627" s="94">
        <v>31707317.073170733</v>
      </c>
      <c r="E627" s="91">
        <f>VLOOKUP(3232,收盤價!A:C,3,0)</f>
        <v>26.45</v>
      </c>
      <c r="F627" s="93">
        <v>838658536.58536589</v>
      </c>
      <c r="G627" s="93">
        <v>893725000</v>
      </c>
      <c r="H627" s="117">
        <v>0.94</v>
      </c>
      <c r="I627" s="117">
        <v>16.13</v>
      </c>
    </row>
    <row r="628" spans="1:9">
      <c r="A628" s="116">
        <v>3234</v>
      </c>
      <c r="B628" s="91">
        <v>0.77</v>
      </c>
      <c r="C628" s="92">
        <v>0.97041420118343191</v>
      </c>
      <c r="D628" s="94">
        <v>97402597.402597398</v>
      </c>
      <c r="E628" s="91">
        <f>VLOOKUP(3234,收盤價!A:C,3,0)</f>
        <v>98.6</v>
      </c>
      <c r="F628" s="93">
        <v>9603896103.8961029</v>
      </c>
      <c r="G628" s="93">
        <v>3460334000</v>
      </c>
      <c r="H628" s="117">
        <v>2.78</v>
      </c>
      <c r="I628" s="117">
        <v>32.99</v>
      </c>
    </row>
    <row r="629" spans="1:9">
      <c r="A629" s="116">
        <v>3236</v>
      </c>
      <c r="B629" s="91">
        <v>0.13</v>
      </c>
      <c r="C629" s="92">
        <v>1</v>
      </c>
      <c r="D629" s="94">
        <v>61538461.538461536</v>
      </c>
      <c r="E629" s="91">
        <f>VLOOKUP(3236,收盤價!A:C,3,0)</f>
        <v>11.95</v>
      </c>
      <c r="F629" s="93">
        <v>735384615.3846153</v>
      </c>
      <c r="G629" s="93">
        <v>1787828000</v>
      </c>
      <c r="H629" s="117">
        <v>0.41</v>
      </c>
      <c r="I629" s="117">
        <v>22.98</v>
      </c>
    </row>
    <row r="630" spans="1:9">
      <c r="A630" s="116">
        <v>3252</v>
      </c>
      <c r="B630" s="91">
        <v>-0.56999999999999995</v>
      </c>
      <c r="C630" s="92">
        <v>0</v>
      </c>
      <c r="D630" s="94">
        <v>21052631.578947369</v>
      </c>
      <c r="E630" s="91">
        <f>VLOOKUP(3252,收盤價!A:C,3,0)</f>
        <v>20.350000000000001</v>
      </c>
      <c r="F630" s="93">
        <v>428421052.63157898</v>
      </c>
      <c r="G630" s="93">
        <v>172925000</v>
      </c>
      <c r="H630" s="117">
        <v>2.48</v>
      </c>
      <c r="I630" s="117">
        <v>0</v>
      </c>
    </row>
    <row r="631" spans="1:9">
      <c r="A631" s="116">
        <v>3257</v>
      </c>
      <c r="B631" s="91">
        <v>0.48</v>
      </c>
      <c r="C631" s="92">
        <v>0.93220338983050843</v>
      </c>
      <c r="D631" s="94">
        <v>54166666.666666672</v>
      </c>
      <c r="E631" s="91">
        <f>VLOOKUP(3257,收盤價!A:C,3,0)</f>
        <v>39.299999999999997</v>
      </c>
      <c r="F631" s="93">
        <v>2128750000</v>
      </c>
      <c r="G631" s="93">
        <v>889150000</v>
      </c>
      <c r="H631" s="117">
        <v>2.39</v>
      </c>
      <c r="I631" s="117">
        <v>21.96</v>
      </c>
    </row>
    <row r="632" spans="1:9">
      <c r="A632" s="116">
        <v>3259</v>
      </c>
      <c r="B632" s="91">
        <v>-0.83</v>
      </c>
      <c r="C632" s="92">
        <v>1</v>
      </c>
      <c r="D632" s="94">
        <v>71084337.3493976</v>
      </c>
      <c r="E632" s="91">
        <f>VLOOKUP(3259,收盤價!A:C,3,0)</f>
        <v>30.85</v>
      </c>
      <c r="F632" s="93">
        <v>2192951807.2289162</v>
      </c>
      <c r="G632" s="93">
        <v>547961000</v>
      </c>
      <c r="H632" s="117">
        <v>4</v>
      </c>
      <c r="I632" s="117">
        <v>0</v>
      </c>
    </row>
    <row r="633" spans="1:9">
      <c r="A633" s="116">
        <v>6239</v>
      </c>
      <c r="B633" s="91">
        <v>1.2</v>
      </c>
      <c r="C633" s="92">
        <v>1</v>
      </c>
      <c r="D633" s="94">
        <v>772500000</v>
      </c>
      <c r="E633" s="91">
        <f>VLOOKUP(6239,收盤價!A:C,3,0)</f>
        <v>61</v>
      </c>
      <c r="F633" s="93">
        <v>47122500000</v>
      </c>
      <c r="G633" s="93">
        <v>39954533000</v>
      </c>
      <c r="H633" s="117">
        <v>1.18</v>
      </c>
      <c r="I633" s="117">
        <v>12.71</v>
      </c>
    </row>
    <row r="634" spans="1:9">
      <c r="A634" s="116">
        <v>2316</v>
      </c>
      <c r="B634" s="91">
        <v>13.49</v>
      </c>
      <c r="C634" s="92">
        <v>0</v>
      </c>
      <c r="D634" s="94">
        <v>317272053.37286878</v>
      </c>
      <c r="E634" s="91">
        <f>VLOOKUP(2316,收盤價!A:C,3,0)</f>
        <v>26.45</v>
      </c>
      <c r="F634" s="93">
        <v>8391845811.7123785</v>
      </c>
      <c r="G634" s="93">
        <v>7174585000</v>
      </c>
      <c r="H634" s="117">
        <v>1.17</v>
      </c>
      <c r="I634" s="117">
        <v>0</v>
      </c>
    </row>
    <row r="635" spans="1:9">
      <c r="A635" s="116">
        <v>3265</v>
      </c>
      <c r="B635" s="91">
        <v>0.36</v>
      </c>
      <c r="C635" s="92">
        <v>1</v>
      </c>
      <c r="D635" s="94">
        <v>136111111.1111111</v>
      </c>
      <c r="E635" s="91">
        <f>VLOOKUP(3265,收盤價!A:C,3,0)</f>
        <v>27.8</v>
      </c>
      <c r="F635" s="93">
        <v>3783888888.8888888</v>
      </c>
      <c r="G635" s="93">
        <v>1666937000</v>
      </c>
      <c r="H635" s="117">
        <v>2.27</v>
      </c>
      <c r="I635" s="117">
        <v>19.309999999999999</v>
      </c>
    </row>
    <row r="636" spans="1:9">
      <c r="A636" s="116">
        <v>1603</v>
      </c>
      <c r="B636" s="91">
        <v>0.17</v>
      </c>
      <c r="C636" s="92">
        <v>0.35625000000000001</v>
      </c>
      <c r="D636" s="94">
        <v>282352941.17647058</v>
      </c>
      <c r="E636" s="91">
        <f>VLOOKUP(1603,收盤價!A:C,3,0)</f>
        <v>11.85</v>
      </c>
      <c r="F636" s="93">
        <v>3345882352.9411764</v>
      </c>
      <c r="G636" s="93">
        <v>2713440000</v>
      </c>
      <c r="H636" s="117">
        <v>1.23</v>
      </c>
      <c r="I636" s="117">
        <v>48.92</v>
      </c>
    </row>
    <row r="637" spans="1:9">
      <c r="A637" s="116">
        <v>3268</v>
      </c>
      <c r="B637" s="91">
        <v>-0.54</v>
      </c>
      <c r="C637" s="92">
        <v>0.76923076923076927</v>
      </c>
      <c r="D637" s="94">
        <v>31481481.481481478</v>
      </c>
      <c r="E637" s="91">
        <f>VLOOKUP(3268,收盤價!A:C,3,0)</f>
        <v>15.3</v>
      </c>
      <c r="F637" s="93">
        <v>481666666.66666663</v>
      </c>
      <c r="G637" s="93">
        <v>798412000</v>
      </c>
      <c r="H637" s="117">
        <v>0.6</v>
      </c>
      <c r="I637" s="117">
        <v>0</v>
      </c>
    </row>
    <row r="638" spans="1:9">
      <c r="A638" s="116">
        <v>3272</v>
      </c>
      <c r="B638" s="91">
        <v>0.86</v>
      </c>
      <c r="C638" s="92">
        <v>0.89333333333333331</v>
      </c>
      <c r="D638" s="94">
        <v>38372093.023255818</v>
      </c>
      <c r="E638" s="91">
        <f>VLOOKUP(3272,收盤價!A:C,3,0)</f>
        <v>70.099999999999994</v>
      </c>
      <c r="F638" s="93">
        <v>2689883720.9302325</v>
      </c>
      <c r="G638" s="93">
        <v>2959719000</v>
      </c>
      <c r="H638" s="117">
        <v>0.91</v>
      </c>
      <c r="I638" s="117">
        <v>22.81</v>
      </c>
    </row>
    <row r="639" spans="1:9">
      <c r="A639" s="116">
        <v>3276</v>
      </c>
      <c r="B639" s="91">
        <v>0.03</v>
      </c>
      <c r="C639" s="92">
        <v>1</v>
      </c>
      <c r="D639" s="94">
        <v>66666666.666666672</v>
      </c>
      <c r="E639" s="91">
        <f>VLOOKUP(3276,收盤價!A:C,3,0)</f>
        <v>9.7799999999999994</v>
      </c>
      <c r="F639" s="93">
        <v>652000000</v>
      </c>
      <c r="G639" s="93">
        <v>848278000</v>
      </c>
      <c r="H639" s="117">
        <v>0.77</v>
      </c>
      <c r="I639" s="117">
        <v>81.5</v>
      </c>
    </row>
    <row r="640" spans="1:9">
      <c r="A640" s="116">
        <v>3284</v>
      </c>
      <c r="B640" s="91">
        <v>-0.05</v>
      </c>
      <c r="C640" s="92">
        <v>0.25</v>
      </c>
      <c r="D640" s="94">
        <v>60000000</v>
      </c>
      <c r="E640" s="91">
        <f>VLOOKUP(3284,收盤價!A:C,3,0)</f>
        <v>9.41</v>
      </c>
      <c r="F640" s="93">
        <v>564600000</v>
      </c>
      <c r="G640" s="93">
        <v>948997000</v>
      </c>
      <c r="H640" s="117">
        <v>0.59</v>
      </c>
      <c r="I640" s="117">
        <v>0</v>
      </c>
    </row>
    <row r="641" spans="1:9">
      <c r="A641" s="116">
        <v>3285</v>
      </c>
      <c r="B641" s="91">
        <v>0.13</v>
      </c>
      <c r="C641" s="92">
        <v>1</v>
      </c>
      <c r="D641" s="94">
        <v>46153846.153846152</v>
      </c>
      <c r="E641" s="91">
        <f>VLOOKUP(3285,收盤價!A:C,3,0)</f>
        <v>32.75</v>
      </c>
      <c r="F641" s="93">
        <v>1511538461.5384614</v>
      </c>
      <c r="G641" s="93">
        <v>1380059000</v>
      </c>
      <c r="H641" s="117">
        <v>1.1000000000000001</v>
      </c>
      <c r="I641" s="117">
        <v>62.98</v>
      </c>
    </row>
    <row r="642" spans="1:9">
      <c r="A642" s="116">
        <v>3287</v>
      </c>
      <c r="B642" s="91">
        <v>-0.08</v>
      </c>
      <c r="C642" s="92">
        <v>0.84210526315789469</v>
      </c>
      <c r="D642" s="94">
        <v>50000000</v>
      </c>
      <c r="E642" s="91">
        <f>VLOOKUP(3287,收盤價!A:C,3,0)</f>
        <v>9.1999999999999993</v>
      </c>
      <c r="F642" s="93">
        <v>459999999.99999994</v>
      </c>
      <c r="G642" s="93">
        <v>453431000</v>
      </c>
      <c r="H642" s="117">
        <v>1.01</v>
      </c>
      <c r="I642" s="117">
        <v>0</v>
      </c>
    </row>
    <row r="643" spans="1:9">
      <c r="A643" s="116">
        <v>3288</v>
      </c>
      <c r="B643" s="91">
        <v>-0.54</v>
      </c>
      <c r="C643" s="92">
        <v>0.88372093023255816</v>
      </c>
      <c r="D643" s="94">
        <v>48148148.148148142</v>
      </c>
      <c r="E643" s="91">
        <f>VLOOKUP(3288,收盤價!A:C,3,0)</f>
        <v>8.6300000000000008</v>
      </c>
      <c r="F643" s="93">
        <v>415518518.51851851</v>
      </c>
      <c r="G643" s="93">
        <v>293319000</v>
      </c>
      <c r="H643" s="117">
        <v>1.42</v>
      </c>
      <c r="I643" s="117">
        <v>0</v>
      </c>
    </row>
    <row r="644" spans="1:9">
      <c r="A644" s="116">
        <v>3289</v>
      </c>
      <c r="B644" s="91">
        <v>2.52</v>
      </c>
      <c r="C644" s="92">
        <v>0</v>
      </c>
      <c r="D644" s="94">
        <v>46428571.428571425</v>
      </c>
      <c r="E644" s="91">
        <f>VLOOKUP(3289,收盤價!A:C,3,0)</f>
        <v>92.9</v>
      </c>
      <c r="F644" s="93">
        <v>4313214285.7142859</v>
      </c>
      <c r="G644" s="93">
        <v>1972930000</v>
      </c>
      <c r="H644" s="117">
        <v>2.19</v>
      </c>
      <c r="I644" s="117">
        <v>0</v>
      </c>
    </row>
    <row r="645" spans="1:9">
      <c r="A645" s="116">
        <v>3290</v>
      </c>
      <c r="B645" s="91">
        <v>0.51</v>
      </c>
      <c r="C645" s="92">
        <v>0</v>
      </c>
      <c r="D645" s="94">
        <v>100000000</v>
      </c>
      <c r="E645" s="91">
        <f>VLOOKUP(3290,收盤價!A:C,3,0)</f>
        <v>16.55</v>
      </c>
      <c r="F645" s="93">
        <v>1655000000</v>
      </c>
      <c r="G645" s="93">
        <v>3015643000</v>
      </c>
      <c r="H645" s="117">
        <v>0.55000000000000004</v>
      </c>
      <c r="I645" s="117">
        <v>0</v>
      </c>
    </row>
    <row r="646" spans="1:9">
      <c r="A646" s="116">
        <v>3291</v>
      </c>
      <c r="B646" s="91">
        <v>0.13</v>
      </c>
      <c r="C646" s="92">
        <v>1</v>
      </c>
      <c r="D646" s="94">
        <v>38461538.461538464</v>
      </c>
      <c r="E646" s="91">
        <f>VLOOKUP(3291,收盤價!A:C,3,0)</f>
        <v>16.75</v>
      </c>
      <c r="F646" s="93">
        <v>644230769.23076928</v>
      </c>
      <c r="G646" s="93">
        <v>731428000</v>
      </c>
      <c r="H646" s="117">
        <v>0.88</v>
      </c>
      <c r="I646" s="117">
        <v>32.21</v>
      </c>
    </row>
    <row r="647" spans="1:9">
      <c r="A647" s="116">
        <v>3293</v>
      </c>
      <c r="B647" s="91">
        <v>1.1000000000000001</v>
      </c>
      <c r="C647" s="92">
        <v>0.94791666666666663</v>
      </c>
      <c r="D647" s="94">
        <v>70000000</v>
      </c>
      <c r="E647" s="91">
        <f>VLOOKUP(3293,收盤價!A:C,3,0)</f>
        <v>91.1</v>
      </c>
      <c r="F647" s="93">
        <v>6377000000</v>
      </c>
      <c r="G647" s="93">
        <v>1748848000</v>
      </c>
      <c r="H647" s="117">
        <v>3.65</v>
      </c>
      <c r="I647" s="117">
        <v>21.84</v>
      </c>
    </row>
    <row r="648" spans="1:9">
      <c r="A648" s="116">
        <v>3294</v>
      </c>
      <c r="B648" s="91">
        <v>-0.26</v>
      </c>
      <c r="C648" s="92">
        <v>0.77419354838709675</v>
      </c>
      <c r="D648" s="94">
        <v>130769230.76923077</v>
      </c>
      <c r="E648" s="91">
        <f>VLOOKUP(3294,收盤價!A:C,3,0)</f>
        <v>17.649999999999999</v>
      </c>
      <c r="F648" s="93">
        <v>2308076923.0769229</v>
      </c>
      <c r="G648" s="93">
        <v>5613752000</v>
      </c>
      <c r="H648" s="117">
        <v>0.41</v>
      </c>
      <c r="I648" s="117">
        <v>0</v>
      </c>
    </row>
    <row r="649" spans="1:9">
      <c r="A649" s="116">
        <v>3296</v>
      </c>
      <c r="B649" s="91">
        <v>-0.25</v>
      </c>
      <c r="C649" s="92">
        <v>0.93333333333333335</v>
      </c>
      <c r="D649" s="94">
        <v>112000000</v>
      </c>
      <c r="E649" s="91">
        <f>VLOOKUP(3296,收盤價!A:C,3,0)</f>
        <v>16.2</v>
      </c>
      <c r="F649" s="93">
        <v>1814400000</v>
      </c>
      <c r="G649" s="93">
        <v>2823395000</v>
      </c>
      <c r="H649" s="117">
        <v>0.64</v>
      </c>
      <c r="I649" s="117">
        <v>0</v>
      </c>
    </row>
    <row r="650" spans="1:9">
      <c r="A650" s="116">
        <v>3297</v>
      </c>
      <c r="B650" s="91">
        <v>-0.17</v>
      </c>
      <c r="C650" s="92">
        <v>1</v>
      </c>
      <c r="D650" s="94">
        <v>35294117.647058822</v>
      </c>
      <c r="E650" s="91">
        <f>VLOOKUP(3297,收盤價!A:C,3,0)</f>
        <v>18.850000000000001</v>
      </c>
      <c r="F650" s="93">
        <v>665294117.64705884</v>
      </c>
      <c r="G650" s="93">
        <v>632220000</v>
      </c>
      <c r="H650" s="117">
        <v>1.05</v>
      </c>
      <c r="I650" s="117">
        <v>0</v>
      </c>
    </row>
    <row r="651" spans="1:9">
      <c r="A651" s="116">
        <v>3299</v>
      </c>
      <c r="B651" s="91">
        <v>1.35</v>
      </c>
      <c r="C651" s="92">
        <v>0.73103448275862071</v>
      </c>
      <c r="D651" s="94">
        <v>50370370.370370366</v>
      </c>
      <c r="E651" s="91">
        <f>VLOOKUP(3299,收盤價!A:C,3,0)</f>
        <v>50.8</v>
      </c>
      <c r="F651" s="93">
        <v>2558814814.8148146</v>
      </c>
      <c r="G651" s="93">
        <v>2638349000</v>
      </c>
      <c r="H651" s="117">
        <v>0.97</v>
      </c>
      <c r="I651" s="117">
        <v>12.87</v>
      </c>
    </row>
    <row r="652" spans="1:9">
      <c r="A652" s="116">
        <v>3303</v>
      </c>
      <c r="B652" s="91">
        <v>0.31</v>
      </c>
      <c r="C652" s="92">
        <v>1</v>
      </c>
      <c r="D652" s="94">
        <v>103225806.4516129</v>
      </c>
      <c r="E652" s="91">
        <f>VLOOKUP(3303,收盤價!A:C,3,0)</f>
        <v>18.600000000000001</v>
      </c>
      <c r="F652" s="93">
        <v>1920000000.0000002</v>
      </c>
      <c r="G652" s="93">
        <v>2337180000</v>
      </c>
      <c r="H652" s="117">
        <v>0.82</v>
      </c>
      <c r="I652" s="117">
        <v>15</v>
      </c>
    </row>
    <row r="653" spans="1:9">
      <c r="A653" s="116">
        <v>3305</v>
      </c>
      <c r="B653" s="91">
        <v>0.15</v>
      </c>
      <c r="C653" s="92">
        <v>1</v>
      </c>
      <c r="D653" s="94">
        <v>120000000</v>
      </c>
      <c r="E653" s="91">
        <f>VLOOKUP(3305,收盤價!A:C,3,0)</f>
        <v>24</v>
      </c>
      <c r="F653" s="93">
        <v>2880000000</v>
      </c>
      <c r="G653" s="93">
        <v>5082420000</v>
      </c>
      <c r="H653" s="117">
        <v>0.56999999999999995</v>
      </c>
      <c r="I653" s="117">
        <v>40</v>
      </c>
    </row>
    <row r="654" spans="1:9">
      <c r="A654" s="116">
        <v>3306</v>
      </c>
      <c r="B654" s="91">
        <v>0.6</v>
      </c>
      <c r="C654" s="92">
        <v>0</v>
      </c>
      <c r="D654" s="94">
        <v>50000000</v>
      </c>
      <c r="E654" s="91">
        <f>VLOOKUP(3306,收盤價!A:C,3,0)</f>
        <v>26.65</v>
      </c>
      <c r="F654" s="93">
        <v>1332500000</v>
      </c>
      <c r="G654" s="93">
        <v>1338208000</v>
      </c>
      <c r="H654" s="117">
        <v>1</v>
      </c>
      <c r="I654" s="117">
        <v>0</v>
      </c>
    </row>
    <row r="655" spans="1:9">
      <c r="A655" s="116">
        <v>3308</v>
      </c>
      <c r="B655" s="91">
        <v>0.11</v>
      </c>
      <c r="C655" s="92">
        <v>0</v>
      </c>
      <c r="D655" s="94">
        <v>100000000</v>
      </c>
      <c r="E655" s="91">
        <f>VLOOKUP(3308,收盤價!A:C,3,0)</f>
        <v>8.39</v>
      </c>
      <c r="F655" s="93">
        <v>839000000</v>
      </c>
      <c r="G655" s="93">
        <v>1717983000</v>
      </c>
      <c r="H655" s="117">
        <v>0.49</v>
      </c>
      <c r="I655" s="117">
        <v>0</v>
      </c>
    </row>
    <row r="656" spans="1:9">
      <c r="A656" s="116">
        <v>3310</v>
      </c>
      <c r="B656" s="91">
        <v>0.1</v>
      </c>
      <c r="C656" s="92">
        <v>1</v>
      </c>
      <c r="D656" s="94">
        <v>120000000</v>
      </c>
      <c r="E656" s="91">
        <f>VLOOKUP(3310,收盤價!A:C,3,0)</f>
        <v>13.4</v>
      </c>
      <c r="F656" s="93">
        <v>1608000000</v>
      </c>
      <c r="G656" s="93">
        <v>469986000</v>
      </c>
      <c r="H656" s="117">
        <v>3.42</v>
      </c>
      <c r="I656" s="117">
        <v>33.5</v>
      </c>
    </row>
    <row r="657" spans="1:9">
      <c r="A657" s="116">
        <v>3311</v>
      </c>
      <c r="B657" s="91">
        <v>0.31</v>
      </c>
      <c r="C657" s="92">
        <v>0.25842696629213485</v>
      </c>
      <c r="D657" s="94">
        <v>190322580.6451613</v>
      </c>
      <c r="E657" s="91">
        <f>VLOOKUP(3311,收盤價!A:C,3,0)</f>
        <v>19.899999999999999</v>
      </c>
      <c r="F657" s="93">
        <v>3787419354.8387098</v>
      </c>
      <c r="G657" s="93">
        <v>3752242000</v>
      </c>
      <c r="H657" s="117">
        <v>1.01</v>
      </c>
      <c r="I657" s="117">
        <v>62.1</v>
      </c>
    </row>
    <row r="658" spans="1:9">
      <c r="A658" s="116">
        <v>3312</v>
      </c>
      <c r="B658" s="91">
        <v>-0.48</v>
      </c>
      <c r="C658" s="92">
        <v>0.625</v>
      </c>
      <c r="D658" s="94">
        <v>95833333.333333343</v>
      </c>
      <c r="E658" s="91">
        <f>VLOOKUP(3312,收盤價!A:C,3,0)</f>
        <v>7.3</v>
      </c>
      <c r="F658" s="93">
        <v>699583333.33333337</v>
      </c>
      <c r="G658" s="93">
        <v>18166773000</v>
      </c>
      <c r="H658" s="117">
        <v>0.04</v>
      </c>
      <c r="I658" s="117">
        <v>0</v>
      </c>
    </row>
    <row r="659" spans="1:9">
      <c r="A659" s="116">
        <v>3313</v>
      </c>
      <c r="B659" s="91">
        <v>-0.67</v>
      </c>
      <c r="C659" s="92">
        <v>0.94444444444444442</v>
      </c>
      <c r="D659" s="94">
        <v>83582089.552238807</v>
      </c>
      <c r="E659" s="91">
        <f>VLOOKUP(3313,收盤價!A:C,3,0)</f>
        <v>8.1199999999999992</v>
      </c>
      <c r="F659" s="93">
        <v>678686567.16417909</v>
      </c>
      <c r="G659" s="93">
        <v>1865136000</v>
      </c>
      <c r="H659" s="117">
        <v>0.36</v>
      </c>
      <c r="I659" s="117">
        <v>0</v>
      </c>
    </row>
    <row r="660" spans="1:9">
      <c r="A660" s="116">
        <v>3315</v>
      </c>
      <c r="B660" s="91">
        <v>-0.55000000000000004</v>
      </c>
      <c r="C660" s="92">
        <v>0.36666666666666664</v>
      </c>
      <c r="D660" s="94">
        <v>70909090.909090906</v>
      </c>
      <c r="E660" s="91">
        <f>VLOOKUP(3315,收盤價!A:C,3,0)</f>
        <v>17.600000000000001</v>
      </c>
      <c r="F660" s="93">
        <v>1248000000</v>
      </c>
      <c r="G660" s="93">
        <v>8829339000</v>
      </c>
      <c r="H660" s="117">
        <v>0.14000000000000001</v>
      </c>
      <c r="I660" s="117">
        <v>0</v>
      </c>
    </row>
    <row r="661" spans="1:9">
      <c r="A661" s="116">
        <v>3317</v>
      </c>
      <c r="B661" s="91">
        <v>-0.42</v>
      </c>
      <c r="C661" s="92">
        <v>0.7</v>
      </c>
      <c r="D661" s="94">
        <v>61904761.90476191</v>
      </c>
      <c r="E661" s="91">
        <f>VLOOKUP(3317,收盤價!A:C,3,0)</f>
        <v>12.55</v>
      </c>
      <c r="F661" s="93">
        <v>776904761.90476203</v>
      </c>
      <c r="G661" s="93">
        <v>1915531000</v>
      </c>
      <c r="H661" s="117">
        <v>0.41</v>
      </c>
      <c r="I661" s="117">
        <v>0</v>
      </c>
    </row>
    <row r="662" spans="1:9">
      <c r="A662" s="116">
        <v>3322</v>
      </c>
      <c r="B662" s="91">
        <v>-0.44</v>
      </c>
      <c r="C662" s="92">
        <v>0.83076923076923082</v>
      </c>
      <c r="D662" s="94">
        <v>84090909.090909094</v>
      </c>
      <c r="E662" s="91">
        <f>VLOOKUP(3322,收盤價!A:C,3,0)</f>
        <v>12.05</v>
      </c>
      <c r="F662" s="93">
        <v>1013295454.5454546</v>
      </c>
      <c r="G662" s="93">
        <v>2127180000</v>
      </c>
      <c r="H662" s="117">
        <v>0.48</v>
      </c>
      <c r="I662" s="117">
        <v>0</v>
      </c>
    </row>
    <row r="663" spans="1:9">
      <c r="A663" s="116">
        <v>3323</v>
      </c>
      <c r="B663" s="91">
        <v>-0.19</v>
      </c>
      <c r="C663" s="92">
        <v>0.9285714285714286</v>
      </c>
      <c r="D663" s="94">
        <v>94736842.105263159</v>
      </c>
      <c r="E663" s="91">
        <f>VLOOKUP(3323,收盤價!A:C,3,0)</f>
        <v>19.55</v>
      </c>
      <c r="F663" s="93">
        <v>1852105263.1578948</v>
      </c>
      <c r="G663" s="93">
        <v>5075818000</v>
      </c>
      <c r="H663" s="117">
        <v>0.36</v>
      </c>
      <c r="I663" s="117">
        <v>0</v>
      </c>
    </row>
    <row r="664" spans="1:9">
      <c r="A664" s="116">
        <v>3324</v>
      </c>
      <c r="B664" s="91">
        <v>-0.04</v>
      </c>
      <c r="C664" s="92">
        <v>0.875</v>
      </c>
      <c r="D664" s="94">
        <v>75000000</v>
      </c>
      <c r="E664" s="91">
        <f>VLOOKUP(3324,收盤價!A:C,3,0)</f>
        <v>22.6</v>
      </c>
      <c r="F664" s="93">
        <v>1695000000</v>
      </c>
      <c r="G664" s="93">
        <v>4479143000</v>
      </c>
      <c r="H664" s="117">
        <v>0.38</v>
      </c>
      <c r="I664" s="117">
        <v>0</v>
      </c>
    </row>
    <row r="665" spans="1:9">
      <c r="A665" s="116">
        <v>3325</v>
      </c>
      <c r="B665" s="91">
        <v>-0.01</v>
      </c>
      <c r="C665" s="92">
        <v>0.88888888888888884</v>
      </c>
      <c r="D665" s="94">
        <v>100000000</v>
      </c>
      <c r="E665" s="91">
        <f>VLOOKUP(3325,收盤價!A:C,3,0)</f>
        <v>14.85</v>
      </c>
      <c r="F665" s="93">
        <v>1485000000</v>
      </c>
      <c r="G665" s="93">
        <v>1222783000</v>
      </c>
      <c r="H665" s="117">
        <v>1.21</v>
      </c>
      <c r="I665" s="117">
        <v>0</v>
      </c>
    </row>
    <row r="666" spans="1:9">
      <c r="A666" s="116">
        <v>3332</v>
      </c>
      <c r="B666" s="91">
        <v>0.81</v>
      </c>
      <c r="C666" s="92">
        <v>0.796875</v>
      </c>
      <c r="D666" s="94">
        <v>48148148.148148142</v>
      </c>
      <c r="E666" s="91">
        <f>VLOOKUP(3332,收盤價!A:C,3,0)</f>
        <v>39.35</v>
      </c>
      <c r="F666" s="93">
        <v>1894629629.6296294</v>
      </c>
      <c r="G666" s="93">
        <v>1149729000</v>
      </c>
      <c r="H666" s="117">
        <v>1.65</v>
      </c>
      <c r="I666" s="117">
        <v>15.24</v>
      </c>
    </row>
    <row r="667" spans="1:9">
      <c r="A667" s="116">
        <v>3338</v>
      </c>
      <c r="B667" s="91">
        <v>0.14000000000000001</v>
      </c>
      <c r="C667" s="92">
        <v>1</v>
      </c>
      <c r="D667" s="94">
        <v>71428571.428571418</v>
      </c>
      <c r="E667" s="91">
        <f>VLOOKUP(3338,收盤價!A:C,3,0)</f>
        <v>25.5</v>
      </c>
      <c r="F667" s="93">
        <v>1821428571.4285712</v>
      </c>
      <c r="G667" s="93">
        <v>2465357000</v>
      </c>
      <c r="H667" s="117">
        <v>0.74</v>
      </c>
      <c r="I667" s="117">
        <v>45.54</v>
      </c>
    </row>
    <row r="668" spans="1:9">
      <c r="A668" s="116">
        <v>1702</v>
      </c>
      <c r="B668" s="91">
        <v>1.24</v>
      </c>
      <c r="C668" s="92">
        <v>1</v>
      </c>
      <c r="D668" s="94">
        <v>247580645.16129032</v>
      </c>
      <c r="E668" s="91">
        <f>VLOOKUP(1702,收盤價!A:C,3,0)</f>
        <v>71.8</v>
      </c>
      <c r="F668" s="93">
        <v>17776290322.580643</v>
      </c>
      <c r="G668" s="93">
        <v>15169922000</v>
      </c>
      <c r="H668" s="117">
        <v>1.17</v>
      </c>
      <c r="I668" s="117">
        <v>14.48</v>
      </c>
    </row>
    <row r="669" spans="1:9">
      <c r="A669" s="116">
        <v>3354</v>
      </c>
      <c r="B669" s="91">
        <v>-0.1</v>
      </c>
      <c r="C669" s="92">
        <v>0.30769230769230771</v>
      </c>
      <c r="D669" s="94">
        <v>90000000</v>
      </c>
      <c r="E669" s="91">
        <f>VLOOKUP(3354,收盤價!A:C,3,0)</f>
        <v>8.39</v>
      </c>
      <c r="F669" s="93">
        <v>755100000</v>
      </c>
      <c r="G669" s="93">
        <v>628405000</v>
      </c>
      <c r="H669" s="117">
        <v>1.2</v>
      </c>
      <c r="I669" s="117">
        <v>0</v>
      </c>
    </row>
    <row r="670" spans="1:9">
      <c r="A670" s="116">
        <v>3356</v>
      </c>
      <c r="B670" s="91">
        <v>1.19</v>
      </c>
      <c r="C670" s="92">
        <v>1</v>
      </c>
      <c r="D670" s="94">
        <v>69747899.159663871</v>
      </c>
      <c r="E670" s="91">
        <f>VLOOKUP(3356,收盤價!A:C,3,0)</f>
        <v>83.2</v>
      </c>
      <c r="F670" s="93">
        <v>5803025210.084034</v>
      </c>
      <c r="G670" s="93">
        <v>2158466000</v>
      </c>
      <c r="H670" s="117">
        <v>2.69</v>
      </c>
      <c r="I670" s="117">
        <v>17.48</v>
      </c>
    </row>
    <row r="671" spans="1:9">
      <c r="A671" s="116">
        <v>3360</v>
      </c>
      <c r="B671" s="91">
        <v>0.2</v>
      </c>
      <c r="C671" s="92">
        <v>1</v>
      </c>
      <c r="D671" s="94">
        <v>75000000</v>
      </c>
      <c r="E671" s="91">
        <f>VLOOKUP(3360,收盤價!A:C,3,0)</f>
        <v>13.3</v>
      </c>
      <c r="F671" s="93">
        <v>997500000</v>
      </c>
      <c r="G671" s="93">
        <v>12022479000</v>
      </c>
      <c r="H671" s="117">
        <v>0.08</v>
      </c>
      <c r="I671" s="117">
        <v>16.62</v>
      </c>
    </row>
    <row r="672" spans="1:9">
      <c r="A672" s="116">
        <v>3362</v>
      </c>
      <c r="B672" s="91">
        <v>-0.3</v>
      </c>
      <c r="C672" s="92">
        <v>0.74193548387096775</v>
      </c>
      <c r="D672" s="94">
        <v>93333333.333333343</v>
      </c>
      <c r="E672" s="91">
        <f>VLOOKUP(3362,收盤價!A:C,3,0)</f>
        <v>16.399999999999999</v>
      </c>
      <c r="F672" s="93">
        <v>1530666666.6666667</v>
      </c>
      <c r="G672" s="93">
        <v>1326689000</v>
      </c>
      <c r="H672" s="117">
        <v>1.1499999999999999</v>
      </c>
      <c r="I672" s="117">
        <v>0</v>
      </c>
    </row>
    <row r="673" spans="1:9">
      <c r="A673" s="116">
        <v>3363</v>
      </c>
      <c r="B673" s="91">
        <v>-0.03</v>
      </c>
      <c r="C673" s="92">
        <v>1</v>
      </c>
      <c r="D673" s="94">
        <v>66666666.666666672</v>
      </c>
      <c r="E673" s="91">
        <f>VLOOKUP(3363,收盤價!A:C,3,0)</f>
        <v>26.4</v>
      </c>
      <c r="F673" s="93">
        <v>1760000000</v>
      </c>
      <c r="G673" s="93">
        <v>916289000</v>
      </c>
      <c r="H673" s="117">
        <v>1.92</v>
      </c>
      <c r="I673" s="117">
        <v>0</v>
      </c>
    </row>
    <row r="674" spans="1:9">
      <c r="A674" s="116">
        <v>3041</v>
      </c>
      <c r="B674" s="91">
        <v>-0.46</v>
      </c>
      <c r="C674" s="92">
        <v>1</v>
      </c>
      <c r="D674" s="94">
        <v>293478260.86956519</v>
      </c>
      <c r="E674" s="91">
        <f>VLOOKUP(3041,收盤價!A:C,3,0)</f>
        <v>15.55</v>
      </c>
      <c r="F674" s="93">
        <v>4563586956.521739</v>
      </c>
      <c r="G674" s="93">
        <v>3847793000</v>
      </c>
      <c r="H674" s="117">
        <v>1.19</v>
      </c>
      <c r="I674" s="117">
        <v>0</v>
      </c>
    </row>
    <row r="675" spans="1:9">
      <c r="A675" s="116">
        <v>3373</v>
      </c>
      <c r="B675" s="91">
        <v>0.3</v>
      </c>
      <c r="C675" s="92">
        <v>1</v>
      </c>
      <c r="D675" s="94">
        <v>43333333.333333336</v>
      </c>
      <c r="E675" s="91">
        <f>VLOOKUP(3373,收盤價!A:C,3,0)</f>
        <v>21.25</v>
      </c>
      <c r="F675" s="93">
        <v>920833333.33333337</v>
      </c>
      <c r="G675" s="93">
        <v>860697000</v>
      </c>
      <c r="H675" s="117">
        <v>1.07</v>
      </c>
      <c r="I675" s="117">
        <v>17.71</v>
      </c>
    </row>
    <row r="676" spans="1:9">
      <c r="A676" s="116">
        <v>3042</v>
      </c>
      <c r="B676" s="91">
        <v>0.56999999999999995</v>
      </c>
      <c r="C676" s="92">
        <v>0.84422110552763818</v>
      </c>
      <c r="D676" s="94">
        <v>310526315.78947371</v>
      </c>
      <c r="E676" s="91">
        <f>VLOOKUP(3042,收盤價!A:C,3,0)</f>
        <v>36.85</v>
      </c>
      <c r="F676" s="93">
        <v>11442894736.842106</v>
      </c>
      <c r="G676" s="93">
        <v>9275833000</v>
      </c>
      <c r="H676" s="117">
        <v>1.23</v>
      </c>
      <c r="I676" s="117">
        <v>19.14</v>
      </c>
    </row>
    <row r="677" spans="1:9">
      <c r="A677" s="116">
        <v>3376</v>
      </c>
      <c r="B677" s="91">
        <v>1.69</v>
      </c>
      <c r="C677" s="92">
        <v>1</v>
      </c>
      <c r="D677" s="94">
        <v>179289940.82840237</v>
      </c>
      <c r="E677" s="91">
        <f>VLOOKUP(3376,收盤價!A:C,3,0)</f>
        <v>95.9</v>
      </c>
      <c r="F677" s="93">
        <v>17193905325.443787</v>
      </c>
      <c r="G677" s="93">
        <v>8092501000</v>
      </c>
      <c r="H677" s="117">
        <v>2.12</v>
      </c>
      <c r="I677" s="117">
        <v>14.19</v>
      </c>
    </row>
    <row r="678" spans="1:9">
      <c r="A678" s="116">
        <v>3379</v>
      </c>
      <c r="B678" s="91">
        <v>0.04</v>
      </c>
      <c r="C678" s="92">
        <v>1</v>
      </c>
      <c r="D678" s="94">
        <v>25000000</v>
      </c>
      <c r="E678" s="91">
        <f>VLOOKUP(3379,收盤價!A:C,3,0)</f>
        <v>16.850000000000001</v>
      </c>
      <c r="F678" s="93">
        <v>421250000.00000006</v>
      </c>
      <c r="G678" s="93">
        <v>1397032000</v>
      </c>
      <c r="H678" s="117">
        <v>0.3</v>
      </c>
      <c r="I678" s="117">
        <v>105.31</v>
      </c>
    </row>
    <row r="679" spans="1:9">
      <c r="A679" s="116">
        <v>3380</v>
      </c>
      <c r="B679" s="91">
        <v>0</v>
      </c>
      <c r="C679" s="92">
        <v>0</v>
      </c>
      <c r="D679" s="94">
        <v>0</v>
      </c>
      <c r="E679" s="91">
        <f>VLOOKUP(3380,收盤價!A:C,3,0)</f>
        <v>16.75</v>
      </c>
      <c r="F679" s="93">
        <v>0</v>
      </c>
      <c r="G679" s="93">
        <v>23696711000</v>
      </c>
      <c r="H679" s="117">
        <v>0</v>
      </c>
      <c r="I679" s="117">
        <v>0</v>
      </c>
    </row>
    <row r="680" spans="1:9">
      <c r="A680" s="116">
        <v>2485</v>
      </c>
      <c r="B680" s="91">
        <v>0.36</v>
      </c>
      <c r="C680" s="92">
        <v>1</v>
      </c>
      <c r="D680" s="94">
        <v>322222222.22222221</v>
      </c>
      <c r="E680" s="91">
        <f>VLOOKUP(2485,收盤價!A:C,3,0)</f>
        <v>37.25</v>
      </c>
      <c r="F680" s="93">
        <v>12002777777.777777</v>
      </c>
      <c r="G680" s="93">
        <v>9778177000</v>
      </c>
      <c r="H680" s="117">
        <v>1.23</v>
      </c>
      <c r="I680" s="117">
        <v>25.87</v>
      </c>
    </row>
    <row r="681" spans="1:9">
      <c r="A681" s="116">
        <v>3388</v>
      </c>
      <c r="B681" s="91">
        <v>1.23</v>
      </c>
      <c r="C681" s="92">
        <v>1</v>
      </c>
      <c r="D681" s="94">
        <v>61788617.886178866</v>
      </c>
      <c r="E681" s="91">
        <f>VLOOKUP(3388,收盤價!A:C,3,0)</f>
        <v>63</v>
      </c>
      <c r="F681" s="93">
        <v>3892682926.8292685</v>
      </c>
      <c r="G681" s="93">
        <v>7262318000</v>
      </c>
      <c r="H681" s="117">
        <v>0.54</v>
      </c>
      <c r="I681" s="117">
        <v>12.8</v>
      </c>
    </row>
    <row r="682" spans="1:9">
      <c r="A682" s="116">
        <v>3390</v>
      </c>
      <c r="B682" s="91">
        <v>0.06</v>
      </c>
      <c r="C682" s="92">
        <v>1</v>
      </c>
      <c r="D682" s="94">
        <v>66666666.666666672</v>
      </c>
      <c r="E682" s="91">
        <f>VLOOKUP(3390,收盤價!A:C,3,0)</f>
        <v>17.75</v>
      </c>
      <c r="F682" s="93">
        <v>1183333333.3333335</v>
      </c>
      <c r="G682" s="93">
        <v>918505000</v>
      </c>
      <c r="H682" s="117">
        <v>1.29</v>
      </c>
      <c r="I682" s="117">
        <v>73.959999999999994</v>
      </c>
    </row>
    <row r="683" spans="1:9">
      <c r="A683" s="116">
        <v>3402</v>
      </c>
      <c r="B683" s="91">
        <v>0.45</v>
      </c>
      <c r="C683" s="92">
        <v>0.90909090909090906</v>
      </c>
      <c r="D683" s="94">
        <v>73333333.333333328</v>
      </c>
      <c r="E683" s="91">
        <f>VLOOKUP(3402,收盤價!A:C,3,0)</f>
        <v>15.15</v>
      </c>
      <c r="F683" s="93">
        <v>1111000000</v>
      </c>
      <c r="G683" s="93">
        <v>2412911000</v>
      </c>
      <c r="H683" s="117">
        <v>0.46</v>
      </c>
      <c r="I683" s="117">
        <v>9.26</v>
      </c>
    </row>
    <row r="684" spans="1:9">
      <c r="A684" s="116">
        <v>3406</v>
      </c>
      <c r="B684" s="91">
        <v>-4.59</v>
      </c>
      <c r="C684" s="92">
        <v>0.87728740581270181</v>
      </c>
      <c r="D684" s="94">
        <v>99782135.076252729</v>
      </c>
      <c r="E684" s="91">
        <f>VLOOKUP(3406,收盤價!A:C,3,0)</f>
        <v>68</v>
      </c>
      <c r="F684" s="93">
        <v>6785185185.1851854</v>
      </c>
      <c r="G684" s="93">
        <v>9669037000</v>
      </c>
      <c r="H684" s="117">
        <v>0.7</v>
      </c>
      <c r="I684" s="117">
        <v>0</v>
      </c>
    </row>
    <row r="685" spans="1:9">
      <c r="A685" s="116">
        <v>3413</v>
      </c>
      <c r="B685" s="91">
        <v>1.71</v>
      </c>
      <c r="C685" s="92">
        <v>0.96685082872928174</v>
      </c>
      <c r="D685" s="94">
        <v>60233918.128654972</v>
      </c>
      <c r="E685" s="91">
        <f>VLOOKUP(3413,收盤價!A:C,3,0)</f>
        <v>64</v>
      </c>
      <c r="F685" s="93">
        <v>3854970760.2339182</v>
      </c>
      <c r="G685" s="93">
        <v>4538941000</v>
      </c>
      <c r="H685" s="117">
        <v>0.85</v>
      </c>
      <c r="I685" s="117">
        <v>9.68</v>
      </c>
    </row>
    <row r="686" spans="1:9">
      <c r="A686" s="116">
        <v>3416</v>
      </c>
      <c r="B686" s="91">
        <v>0.76</v>
      </c>
      <c r="C686" s="92">
        <v>1</v>
      </c>
      <c r="D686" s="94">
        <v>60526315.789473683</v>
      </c>
      <c r="E686" s="91">
        <f>VLOOKUP(3416,收盤價!A:C,3,0)</f>
        <v>54.4</v>
      </c>
      <c r="F686" s="93">
        <v>3292631578.9473681</v>
      </c>
      <c r="G686" s="93">
        <v>1511673000</v>
      </c>
      <c r="H686" s="117">
        <v>2.1800000000000002</v>
      </c>
      <c r="I686" s="117">
        <v>17.89</v>
      </c>
    </row>
    <row r="687" spans="1:9">
      <c r="A687" s="116">
        <v>3419</v>
      </c>
      <c r="B687" s="91">
        <v>-0.41</v>
      </c>
      <c r="C687" s="92">
        <v>0.8771929824561403</v>
      </c>
      <c r="D687" s="94">
        <v>119512195.12195122</v>
      </c>
      <c r="E687" s="91">
        <f>VLOOKUP(3419,收盤價!A:C,3,0)</f>
        <v>13.4</v>
      </c>
      <c r="F687" s="93">
        <v>1601463414.6341465</v>
      </c>
      <c r="G687" s="93">
        <v>2105770000</v>
      </c>
      <c r="H687" s="117">
        <v>0.76</v>
      </c>
      <c r="I687" s="117">
        <v>0</v>
      </c>
    </row>
    <row r="688" spans="1:9">
      <c r="A688" s="116">
        <v>3428</v>
      </c>
      <c r="B688" s="91">
        <v>0.77</v>
      </c>
      <c r="C688" s="92">
        <v>1</v>
      </c>
      <c r="D688" s="94">
        <v>96103896.103896096</v>
      </c>
      <c r="E688" s="91">
        <f>VLOOKUP(3428,收盤價!A:C,3,0)</f>
        <v>50.3</v>
      </c>
      <c r="F688" s="93">
        <v>4834025974.0259733</v>
      </c>
      <c r="G688" s="93">
        <v>1652846000</v>
      </c>
      <c r="H688" s="117">
        <v>2.92</v>
      </c>
      <c r="I688" s="117">
        <v>16.329999999999998</v>
      </c>
    </row>
    <row r="689" spans="1:9">
      <c r="A689" s="116">
        <v>3431</v>
      </c>
      <c r="B689" s="91">
        <v>-0.48</v>
      </c>
      <c r="C689" s="92">
        <v>1</v>
      </c>
      <c r="D689" s="94">
        <v>35416666.666666672</v>
      </c>
      <c r="E689" s="91">
        <f>VLOOKUP(3431,收盤價!A:C,3,0)</f>
        <v>9.9700000000000006</v>
      </c>
      <c r="F689" s="93">
        <v>353104166.66666675</v>
      </c>
      <c r="G689" s="93">
        <v>606992000</v>
      </c>
      <c r="H689" s="117">
        <v>0.57999999999999996</v>
      </c>
      <c r="I689" s="117">
        <v>0</v>
      </c>
    </row>
    <row r="690" spans="1:9">
      <c r="A690" s="116">
        <v>3432</v>
      </c>
      <c r="B690" s="91">
        <v>-0.18</v>
      </c>
      <c r="C690" s="92">
        <v>1</v>
      </c>
      <c r="D690" s="94">
        <v>66666666.666666672</v>
      </c>
      <c r="E690" s="91">
        <f>VLOOKUP(3432,收盤價!A:C,3,0)</f>
        <v>14.1</v>
      </c>
      <c r="F690" s="93">
        <v>940000000</v>
      </c>
      <c r="G690" s="93">
        <v>1017311000</v>
      </c>
      <c r="H690" s="117">
        <v>0.92</v>
      </c>
      <c r="I690" s="117">
        <v>0</v>
      </c>
    </row>
    <row r="691" spans="1:9">
      <c r="A691" s="116">
        <v>3437</v>
      </c>
      <c r="B691" s="91">
        <v>0.28999999999999998</v>
      </c>
      <c r="C691" s="92">
        <v>0.95</v>
      </c>
      <c r="D691" s="94">
        <v>148275862.06896552</v>
      </c>
      <c r="E691" s="91">
        <f>VLOOKUP(3437,收盤價!A:C,3,0)</f>
        <v>26.2</v>
      </c>
      <c r="F691" s="93">
        <v>3884827586.2068968</v>
      </c>
      <c r="G691" s="93">
        <v>6795491000</v>
      </c>
      <c r="H691" s="117">
        <v>0.56999999999999995</v>
      </c>
      <c r="I691" s="117">
        <v>23.77</v>
      </c>
    </row>
    <row r="692" spans="1:9">
      <c r="A692" s="116">
        <v>3438</v>
      </c>
      <c r="B692" s="91">
        <v>0.11</v>
      </c>
      <c r="C692" s="92">
        <v>1</v>
      </c>
      <c r="D692" s="94">
        <v>36363636.363636367</v>
      </c>
      <c r="E692" s="91">
        <f>VLOOKUP(3438,收盤價!A:C,3,0)</f>
        <v>19.600000000000001</v>
      </c>
      <c r="F692" s="93">
        <v>712727272.72727287</v>
      </c>
      <c r="G692" s="93">
        <v>961343000</v>
      </c>
      <c r="H692" s="117">
        <v>0.74</v>
      </c>
      <c r="I692" s="117">
        <v>44.55</v>
      </c>
    </row>
    <row r="693" spans="1:9">
      <c r="A693" s="116">
        <v>3441</v>
      </c>
      <c r="B693" s="91">
        <v>-0.51</v>
      </c>
      <c r="C693" s="92">
        <v>1</v>
      </c>
      <c r="D693" s="94">
        <v>39215686.274509802</v>
      </c>
      <c r="E693" s="91">
        <f>VLOOKUP(3441,收盤價!A:C,3,0)</f>
        <v>12.35</v>
      </c>
      <c r="F693" s="93">
        <v>484313725.49019605</v>
      </c>
      <c r="G693" s="93">
        <v>804241000</v>
      </c>
      <c r="H693" s="117">
        <v>0.6</v>
      </c>
      <c r="I693" s="117">
        <v>0</v>
      </c>
    </row>
    <row r="694" spans="1:9">
      <c r="A694" s="116">
        <v>3443</v>
      </c>
      <c r="B694" s="91">
        <v>0.66</v>
      </c>
      <c r="C694" s="92">
        <v>0.97</v>
      </c>
      <c r="D694" s="94">
        <v>134848484.84848484</v>
      </c>
      <c r="E694" s="91">
        <f>VLOOKUP(3443,收盤價!A:C,3,0)</f>
        <v>66.7</v>
      </c>
      <c r="F694" s="93">
        <v>8994393939.39394</v>
      </c>
      <c r="G694" s="93">
        <v>7374824000</v>
      </c>
      <c r="H694" s="117">
        <v>1.22</v>
      </c>
      <c r="I694" s="117">
        <v>26.05</v>
      </c>
    </row>
    <row r="695" spans="1:9">
      <c r="A695" s="116">
        <v>3444</v>
      </c>
      <c r="B695" s="91">
        <v>0.19</v>
      </c>
      <c r="C695" s="92">
        <v>0.75</v>
      </c>
      <c r="D695" s="94">
        <v>36842105.263157897</v>
      </c>
      <c r="E695" s="91">
        <f>VLOOKUP(3444,收盤價!A:C,3,0)</f>
        <v>15.55</v>
      </c>
      <c r="F695" s="93">
        <v>572894736.84210527</v>
      </c>
      <c r="G695" s="93">
        <v>1034025000</v>
      </c>
      <c r="H695" s="117">
        <v>0.55000000000000004</v>
      </c>
      <c r="I695" s="117">
        <v>27.28</v>
      </c>
    </row>
    <row r="696" spans="1:9">
      <c r="A696" s="116">
        <v>3450</v>
      </c>
      <c r="B696" s="91">
        <v>2.93</v>
      </c>
      <c r="C696" s="92">
        <v>0.98257080610021785</v>
      </c>
      <c r="D696" s="94">
        <v>92150170.648464158</v>
      </c>
      <c r="E696" s="91">
        <f>VLOOKUP(3450,收盤價!A:C,3,0)</f>
        <v>139.5</v>
      </c>
      <c r="F696" s="93">
        <v>12854948805.460751</v>
      </c>
      <c r="G696" s="93">
        <v>6649836000</v>
      </c>
      <c r="H696" s="117">
        <v>1.93</v>
      </c>
      <c r="I696" s="117">
        <v>12.11</v>
      </c>
    </row>
    <row r="697" spans="1:9">
      <c r="A697" s="116">
        <v>2536</v>
      </c>
      <c r="B697" s="91">
        <v>0.5</v>
      </c>
      <c r="C697" s="92">
        <v>1</v>
      </c>
      <c r="D697" s="94">
        <v>330000000</v>
      </c>
      <c r="E697" s="91">
        <f>VLOOKUP(2536,收盤價!A:C,3,0)</f>
        <v>21.95</v>
      </c>
      <c r="F697" s="93">
        <v>7243500000</v>
      </c>
      <c r="G697" s="93">
        <v>6024166000</v>
      </c>
      <c r="H697" s="117">
        <v>1.2</v>
      </c>
      <c r="I697" s="117">
        <v>10.98</v>
      </c>
    </row>
    <row r="698" spans="1:9">
      <c r="A698" s="116">
        <v>3454</v>
      </c>
      <c r="B698" s="91">
        <v>2.08</v>
      </c>
      <c r="C698" s="92">
        <v>1</v>
      </c>
      <c r="D698" s="94">
        <v>76442307.692307696</v>
      </c>
      <c r="E698" s="91">
        <f>VLOOKUP(3454,收盤價!A:C,3,0)</f>
        <v>83.5</v>
      </c>
      <c r="F698" s="93">
        <v>6382932692.3076925</v>
      </c>
      <c r="G698" s="93">
        <v>3865719000</v>
      </c>
      <c r="H698" s="117">
        <v>1.65</v>
      </c>
      <c r="I698" s="117">
        <v>10.039999999999999</v>
      </c>
    </row>
    <row r="699" spans="1:9">
      <c r="A699" s="116">
        <v>3455</v>
      </c>
      <c r="B699" s="91">
        <v>0.73</v>
      </c>
      <c r="C699" s="92">
        <v>1</v>
      </c>
      <c r="D699" s="94">
        <v>60273972.602739729</v>
      </c>
      <c r="E699" s="91">
        <f>VLOOKUP(3455,收盤價!A:C,3,0)</f>
        <v>28.3</v>
      </c>
      <c r="F699" s="93">
        <v>1705753424.6575344</v>
      </c>
      <c r="G699" s="93">
        <v>1495678000</v>
      </c>
      <c r="H699" s="117">
        <v>1.1399999999999999</v>
      </c>
      <c r="I699" s="117">
        <v>9.69</v>
      </c>
    </row>
    <row r="700" spans="1:9">
      <c r="A700" s="116">
        <v>3465</v>
      </c>
      <c r="B700" s="91">
        <v>-0.62</v>
      </c>
      <c r="C700" s="92">
        <v>1</v>
      </c>
      <c r="D700" s="94">
        <v>22580645.161290321</v>
      </c>
      <c r="E700" s="91">
        <f>VLOOKUP(3465,收盤價!A:C,3,0)</f>
        <v>0</v>
      </c>
      <c r="F700" s="93">
        <v>0</v>
      </c>
      <c r="G700" s="93">
        <v>279684000</v>
      </c>
      <c r="H700" s="117">
        <v>0</v>
      </c>
      <c r="I700" s="117">
        <v>0</v>
      </c>
    </row>
    <row r="701" spans="1:9">
      <c r="A701" s="116">
        <v>3466</v>
      </c>
      <c r="B701" s="91">
        <v>-0.23</v>
      </c>
      <c r="C701" s="92">
        <v>0.61538461538461542</v>
      </c>
      <c r="D701" s="94">
        <v>60869565.217391305</v>
      </c>
      <c r="E701" s="91">
        <f>VLOOKUP(3466,收盤價!A:C,3,0)</f>
        <v>27.1</v>
      </c>
      <c r="F701" s="93">
        <v>1649565217.3913045</v>
      </c>
      <c r="G701" s="93">
        <v>1688094000</v>
      </c>
      <c r="H701" s="117">
        <v>0.98</v>
      </c>
      <c r="I701" s="117">
        <v>0</v>
      </c>
    </row>
    <row r="702" spans="1:9">
      <c r="A702" s="116">
        <v>3474</v>
      </c>
      <c r="B702" s="91">
        <v>0.7</v>
      </c>
      <c r="C702" s="92">
        <v>1</v>
      </c>
      <c r="D702" s="94">
        <v>6554285714.2857151</v>
      </c>
      <c r="E702" s="91">
        <f>VLOOKUP(3474,收盤價!A:C,3,0)</f>
        <v>22.9</v>
      </c>
      <c r="F702" s="93">
        <v>150093142857.14285</v>
      </c>
      <c r="G702" s="93">
        <v>72170317000</v>
      </c>
      <c r="H702" s="117">
        <v>2.08</v>
      </c>
      <c r="I702" s="117">
        <v>8.18</v>
      </c>
    </row>
    <row r="703" spans="1:9">
      <c r="A703" s="116">
        <v>3479</v>
      </c>
      <c r="B703" s="91">
        <v>0.6</v>
      </c>
      <c r="C703" s="92">
        <v>0.96666666666666667</v>
      </c>
      <c r="D703" s="94">
        <v>68333333.333333343</v>
      </c>
      <c r="E703" s="91">
        <f>VLOOKUP(3479,收盤價!A:C,3,0)</f>
        <v>47.3</v>
      </c>
      <c r="F703" s="93">
        <v>3232166666.666667</v>
      </c>
      <c r="G703" s="93">
        <v>4076187000</v>
      </c>
      <c r="H703" s="117">
        <v>0.79</v>
      </c>
      <c r="I703" s="117">
        <v>20.39</v>
      </c>
    </row>
    <row r="704" spans="1:9">
      <c r="A704" s="116">
        <v>3481</v>
      </c>
      <c r="B704" s="91">
        <v>0.54</v>
      </c>
      <c r="C704" s="92">
        <v>1</v>
      </c>
      <c r="D704" s="94">
        <v>10011111111.111111</v>
      </c>
      <c r="E704" s="91">
        <f>VLOOKUP(3481,收盤價!A:C,3,0)</f>
        <v>10.95</v>
      </c>
      <c r="F704" s="93">
        <v>109621666666.66666</v>
      </c>
      <c r="G704" s="93">
        <v>404802045000</v>
      </c>
      <c r="H704" s="117">
        <v>0.27</v>
      </c>
      <c r="I704" s="117">
        <v>5.07</v>
      </c>
    </row>
    <row r="705" spans="1:9">
      <c r="A705" s="116">
        <v>3483</v>
      </c>
      <c r="B705" s="91">
        <v>-1.49</v>
      </c>
      <c r="C705" s="92">
        <v>1</v>
      </c>
      <c r="D705" s="94">
        <v>48993288.59060403</v>
      </c>
      <c r="E705" s="91">
        <f>VLOOKUP(3483,收盤價!A:C,3,0)</f>
        <v>13.15</v>
      </c>
      <c r="F705" s="93">
        <v>644261744.96644306</v>
      </c>
      <c r="G705" s="93">
        <v>2682217000</v>
      </c>
      <c r="H705" s="117">
        <v>0.24</v>
      </c>
      <c r="I705" s="117">
        <v>0</v>
      </c>
    </row>
    <row r="706" spans="1:9">
      <c r="A706" s="116">
        <v>3484</v>
      </c>
      <c r="B706" s="91">
        <v>0.5</v>
      </c>
      <c r="C706" s="92">
        <v>1</v>
      </c>
      <c r="D706" s="94">
        <v>62000000</v>
      </c>
      <c r="E706" s="91">
        <f>VLOOKUP(3484,收盤價!A:C,3,0)</f>
        <v>40.65</v>
      </c>
      <c r="F706" s="93">
        <v>2520300000</v>
      </c>
      <c r="G706" s="93">
        <v>3277528000</v>
      </c>
      <c r="H706" s="117">
        <v>0.77</v>
      </c>
      <c r="I706" s="117">
        <v>20.32</v>
      </c>
    </row>
    <row r="707" spans="1:9">
      <c r="A707" s="116">
        <v>3489</v>
      </c>
      <c r="B707" s="91">
        <v>-0.08</v>
      </c>
      <c r="C707" s="92">
        <v>0.4</v>
      </c>
      <c r="D707" s="94">
        <v>87500000</v>
      </c>
      <c r="E707" s="91">
        <f>VLOOKUP(3489,收盤價!A:C,3,0)</f>
        <v>11.35</v>
      </c>
      <c r="F707" s="93">
        <v>993125000</v>
      </c>
      <c r="G707" s="93">
        <v>751695000</v>
      </c>
      <c r="H707" s="117">
        <v>1.32</v>
      </c>
      <c r="I707" s="117">
        <v>0</v>
      </c>
    </row>
    <row r="708" spans="1:9">
      <c r="A708" s="116">
        <v>3490</v>
      </c>
      <c r="B708" s="91">
        <v>2.59</v>
      </c>
      <c r="C708" s="92">
        <v>1</v>
      </c>
      <c r="D708" s="94">
        <v>62548262.548262551</v>
      </c>
      <c r="E708" s="91">
        <f>VLOOKUP(3490,收盤價!A:C,3,0)</f>
        <v>82.3</v>
      </c>
      <c r="F708" s="93">
        <v>5147722007.7220078</v>
      </c>
      <c r="G708" s="93">
        <v>2707713000</v>
      </c>
      <c r="H708" s="117">
        <v>1.9</v>
      </c>
      <c r="I708" s="117">
        <v>7.94</v>
      </c>
    </row>
    <row r="709" spans="1:9">
      <c r="A709" s="116">
        <v>3491</v>
      </c>
      <c r="B709" s="91">
        <v>1.24</v>
      </c>
      <c r="C709" s="92">
        <v>0.96261682242990654</v>
      </c>
      <c r="D709" s="94">
        <v>51612903.225806452</v>
      </c>
      <c r="E709" s="91">
        <f>VLOOKUP(3491,收盤價!A:C,3,0)</f>
        <v>80.5</v>
      </c>
      <c r="F709" s="93">
        <v>4154838709.6774192</v>
      </c>
      <c r="G709" s="93">
        <v>1356971000</v>
      </c>
      <c r="H709" s="117">
        <v>3.06</v>
      </c>
      <c r="I709" s="117">
        <v>16.86</v>
      </c>
    </row>
    <row r="710" spans="1:9">
      <c r="A710" s="116">
        <v>3492</v>
      </c>
      <c r="B710" s="91">
        <v>0.56000000000000005</v>
      </c>
      <c r="C710" s="92">
        <v>0.96153846153846156</v>
      </c>
      <c r="D710" s="94">
        <v>33928571.428571425</v>
      </c>
      <c r="E710" s="91">
        <f>VLOOKUP(3492,收盤價!A:C,3,0)</f>
        <v>29.5</v>
      </c>
      <c r="F710" s="93">
        <v>1000892857.1428571</v>
      </c>
      <c r="G710" s="93">
        <v>1113620000</v>
      </c>
      <c r="H710" s="117">
        <v>0.9</v>
      </c>
      <c r="I710" s="117">
        <v>13.7</v>
      </c>
    </row>
    <row r="711" spans="1:9">
      <c r="A711" s="116">
        <v>3498</v>
      </c>
      <c r="D711" s="94">
        <v>0</v>
      </c>
      <c r="E711" s="91">
        <f>VLOOKUP(3498,收盤價!A:C,3,0)</f>
        <v>71.900000000000006</v>
      </c>
      <c r="F711" s="93">
        <v>0</v>
      </c>
      <c r="G711" s="93">
        <v>3052130000</v>
      </c>
      <c r="H711" s="117">
        <v>0</v>
      </c>
      <c r="I711" s="117">
        <v>0</v>
      </c>
    </row>
    <row r="712" spans="1:9">
      <c r="A712" s="116">
        <v>3499</v>
      </c>
      <c r="B712" s="91">
        <v>0</v>
      </c>
      <c r="C712" s="92">
        <v>0</v>
      </c>
      <c r="D712" s="94">
        <v>0</v>
      </c>
      <c r="E712" s="91">
        <f>VLOOKUP(3499,收盤價!A:C,3,0)</f>
        <v>22.05</v>
      </c>
      <c r="F712" s="93">
        <v>0</v>
      </c>
      <c r="G712" s="93">
        <v>581732000</v>
      </c>
      <c r="H712" s="117">
        <v>0</v>
      </c>
      <c r="I712" s="117">
        <v>0</v>
      </c>
    </row>
    <row r="713" spans="1:9">
      <c r="A713" s="116">
        <v>3501</v>
      </c>
      <c r="B713" s="91">
        <v>1.45</v>
      </c>
      <c r="C713" s="92">
        <v>0.66666666666666663</v>
      </c>
      <c r="D713" s="94">
        <v>115862068.96551724</v>
      </c>
      <c r="E713" s="91">
        <f>VLOOKUP(3501,收盤價!A:C,3,0)</f>
        <v>47.6</v>
      </c>
      <c r="F713" s="93">
        <v>5515034482.7586203</v>
      </c>
      <c r="G713" s="93">
        <v>5659796000</v>
      </c>
      <c r="H713" s="117">
        <v>0.97</v>
      </c>
      <c r="I713" s="117">
        <v>12.31</v>
      </c>
    </row>
    <row r="714" spans="1:9">
      <c r="A714" s="116">
        <v>3504</v>
      </c>
      <c r="B714" s="91">
        <v>0.31</v>
      </c>
      <c r="C714" s="92">
        <v>0.33962264150943394</v>
      </c>
      <c r="D714" s="94">
        <v>112903225.80645162</v>
      </c>
      <c r="E714" s="91">
        <f>VLOOKUP(3504,收盤價!A:C,3,0)</f>
        <v>40</v>
      </c>
      <c r="F714" s="93">
        <v>4516129032.2580643</v>
      </c>
      <c r="G714" s="93">
        <v>4642796000</v>
      </c>
      <c r="H714" s="117">
        <v>0.97</v>
      </c>
      <c r="I714" s="117">
        <v>94.98</v>
      </c>
    </row>
    <row r="715" spans="1:9">
      <c r="A715" s="116">
        <v>3508</v>
      </c>
      <c r="B715" s="91">
        <v>-1.24</v>
      </c>
      <c r="C715" s="92">
        <v>0.90873015873015872</v>
      </c>
      <c r="D715" s="94">
        <v>91935483.870967746</v>
      </c>
      <c r="E715" s="91">
        <f>VLOOKUP(3508,收盤價!A:C,3,0)</f>
        <v>15.8</v>
      </c>
      <c r="F715" s="93">
        <v>1452580645.1612904</v>
      </c>
      <c r="G715" s="93">
        <v>3093853000</v>
      </c>
      <c r="H715" s="117">
        <v>0.47</v>
      </c>
      <c r="I715" s="117">
        <v>0</v>
      </c>
    </row>
    <row r="716" spans="1:9">
      <c r="A716" s="116">
        <v>3511</v>
      </c>
      <c r="B716" s="91">
        <v>1.0900000000000001</v>
      </c>
      <c r="C716" s="92">
        <v>0.88235294117647056</v>
      </c>
      <c r="D716" s="94">
        <v>38532110.091743119</v>
      </c>
      <c r="E716" s="91">
        <f>VLOOKUP(3511,收盤價!A:C,3,0)</f>
        <v>40.1</v>
      </c>
      <c r="F716" s="93">
        <v>1545137614.678899</v>
      </c>
      <c r="G716" s="93">
        <v>1176461000</v>
      </c>
      <c r="H716" s="117">
        <v>1.31</v>
      </c>
      <c r="I716" s="117">
        <v>10.42</v>
      </c>
    </row>
    <row r="717" spans="1:9">
      <c r="A717" s="116">
        <v>3512</v>
      </c>
      <c r="B717" s="91">
        <v>-0.03</v>
      </c>
      <c r="C717" s="92">
        <v>1</v>
      </c>
      <c r="D717" s="94">
        <v>33333333.333333336</v>
      </c>
      <c r="E717" s="91">
        <f>VLOOKUP(3512,收盤價!A:C,3,0)</f>
        <v>36.549999999999997</v>
      </c>
      <c r="F717" s="93">
        <v>1218333333.3333333</v>
      </c>
      <c r="G717" s="93">
        <v>664344000</v>
      </c>
      <c r="H717" s="117">
        <v>1.83</v>
      </c>
      <c r="I717" s="117">
        <v>0</v>
      </c>
    </row>
    <row r="718" spans="1:9">
      <c r="A718" s="116">
        <v>9941</v>
      </c>
      <c r="B718" s="91">
        <v>1.86</v>
      </c>
      <c r="C718" s="92">
        <v>0.95638297872340428</v>
      </c>
      <c r="D718" s="94">
        <v>265591397.84946236</v>
      </c>
      <c r="E718" s="91">
        <f>VLOOKUP(9941,收盤價!A:C,3,0)</f>
        <v>75.400000000000006</v>
      </c>
      <c r="F718" s="93">
        <v>20025591397.849464</v>
      </c>
      <c r="G718" s="93">
        <v>16707181000</v>
      </c>
      <c r="H718" s="117">
        <v>1.2</v>
      </c>
      <c r="I718" s="117">
        <v>10.6</v>
      </c>
    </row>
    <row r="719" spans="1:9">
      <c r="A719" s="116">
        <v>3515</v>
      </c>
      <c r="B719" s="91">
        <v>0.28000000000000003</v>
      </c>
      <c r="C719" s="92">
        <v>0.95867768595041325</v>
      </c>
      <c r="D719" s="94">
        <v>114285714.28571427</v>
      </c>
      <c r="E719" s="91">
        <f>VLOOKUP(3515,收盤價!A:C,3,0)</f>
        <v>39.25</v>
      </c>
      <c r="F719" s="93">
        <v>4485714285.7142849</v>
      </c>
      <c r="G719" s="93">
        <v>7343798000</v>
      </c>
      <c r="H719" s="117">
        <v>0.61</v>
      </c>
      <c r="I719" s="117">
        <v>36.56</v>
      </c>
    </row>
    <row r="720" spans="1:9">
      <c r="A720" s="116">
        <v>3516</v>
      </c>
      <c r="B720" s="91">
        <v>-0.53</v>
      </c>
      <c r="C720" s="92">
        <v>1</v>
      </c>
      <c r="D720" s="94">
        <v>71698113.207547173</v>
      </c>
      <c r="E720" s="91">
        <f>VLOOKUP(3516,收盤價!A:C,3,0)</f>
        <v>9.1199999999999992</v>
      </c>
      <c r="F720" s="93">
        <v>653886792.4528302</v>
      </c>
      <c r="G720" s="93">
        <v>731616000</v>
      </c>
      <c r="H720" s="117">
        <v>0.89</v>
      </c>
      <c r="I720" s="117">
        <v>0</v>
      </c>
    </row>
    <row r="721" spans="1:9">
      <c r="A721" s="116">
        <v>3518</v>
      </c>
      <c r="B721" s="91">
        <v>0.04</v>
      </c>
      <c r="C721" s="92">
        <v>0</v>
      </c>
      <c r="D721" s="94">
        <v>100000000</v>
      </c>
      <c r="E721" s="91">
        <f>VLOOKUP(3518,收盤價!A:C,3,0)</f>
        <v>36.9</v>
      </c>
      <c r="F721" s="93">
        <v>3690000000</v>
      </c>
      <c r="G721" s="93">
        <v>1221587000</v>
      </c>
      <c r="H721" s="117">
        <v>3.02</v>
      </c>
      <c r="I721" s="117">
        <v>0</v>
      </c>
    </row>
    <row r="722" spans="1:9">
      <c r="A722" s="116">
        <v>2108</v>
      </c>
      <c r="B722" s="91">
        <v>0.74</v>
      </c>
      <c r="C722" s="92">
        <v>0.97014925373134331</v>
      </c>
      <c r="D722" s="94">
        <v>424324324.32432431</v>
      </c>
      <c r="E722" s="91">
        <f>VLOOKUP(2108,收盤價!A:C,3,0)</f>
        <v>28.45</v>
      </c>
      <c r="F722" s="93">
        <v>12072027027.027027</v>
      </c>
      <c r="G722" s="93">
        <v>9386252000</v>
      </c>
      <c r="H722" s="117">
        <v>1.29</v>
      </c>
      <c r="I722" s="117">
        <v>9.91</v>
      </c>
    </row>
    <row r="723" spans="1:9">
      <c r="A723" s="116">
        <v>3520</v>
      </c>
      <c r="B723" s="91">
        <v>-0.37</v>
      </c>
      <c r="C723" s="92">
        <v>0.82926829268292679</v>
      </c>
      <c r="D723" s="94">
        <v>54054054.054054052</v>
      </c>
      <c r="E723" s="91">
        <f>VLOOKUP(3520,收盤價!A:C,3,0)</f>
        <v>87.7</v>
      </c>
      <c r="F723" s="93">
        <v>4740540540.5405407</v>
      </c>
      <c r="G723" s="93">
        <v>620423000</v>
      </c>
      <c r="H723" s="117">
        <v>7.64</v>
      </c>
      <c r="I723" s="117">
        <v>0</v>
      </c>
    </row>
    <row r="724" spans="1:9">
      <c r="A724" s="116">
        <v>3521</v>
      </c>
      <c r="B724" s="91">
        <v>-0.02</v>
      </c>
      <c r="C724" s="92">
        <v>0.75</v>
      </c>
      <c r="D724" s="94">
        <v>50000000</v>
      </c>
      <c r="E724" s="91">
        <f>VLOOKUP(3521,收盤價!A:C,3,0)</f>
        <v>14</v>
      </c>
      <c r="F724" s="93">
        <v>700000000</v>
      </c>
      <c r="G724" s="93">
        <v>421504000</v>
      </c>
      <c r="H724" s="117">
        <v>1.66</v>
      </c>
      <c r="I724" s="117">
        <v>0</v>
      </c>
    </row>
    <row r="725" spans="1:9">
      <c r="A725" s="116">
        <v>3522</v>
      </c>
      <c r="B725" s="91">
        <v>-0.37</v>
      </c>
      <c r="C725" s="92">
        <v>1</v>
      </c>
      <c r="D725" s="94">
        <v>48648648.648648649</v>
      </c>
      <c r="E725" s="91">
        <f>VLOOKUP(3522,收盤價!A:C,3,0)</f>
        <v>10.55</v>
      </c>
      <c r="F725" s="93">
        <v>513243243.24324328</v>
      </c>
      <c r="G725" s="93">
        <v>1713359000</v>
      </c>
      <c r="H725" s="117">
        <v>0.3</v>
      </c>
      <c r="I725" s="117">
        <v>0</v>
      </c>
    </row>
    <row r="726" spans="1:9">
      <c r="A726" s="116">
        <v>3523</v>
      </c>
      <c r="B726" s="91">
        <v>-0.71</v>
      </c>
      <c r="C726" s="92">
        <v>0.77165354330708658</v>
      </c>
      <c r="D726" s="94">
        <v>95774647.887323946</v>
      </c>
      <c r="E726" s="91">
        <f>VLOOKUP(3523,收盤價!A:C,3,0)</f>
        <v>21.7</v>
      </c>
      <c r="F726" s="93">
        <v>2078309859.1549296</v>
      </c>
      <c r="G726" s="93">
        <v>1110821000</v>
      </c>
      <c r="H726" s="117">
        <v>1.87</v>
      </c>
      <c r="I726" s="117">
        <v>0</v>
      </c>
    </row>
    <row r="727" spans="1:9">
      <c r="A727" s="116">
        <v>3526</v>
      </c>
      <c r="B727" s="91">
        <v>-0.36</v>
      </c>
      <c r="C727" s="92">
        <v>1</v>
      </c>
      <c r="D727" s="94">
        <v>66666666.666666672</v>
      </c>
      <c r="E727" s="91">
        <f>VLOOKUP(3526,收盤價!A:C,3,0)</f>
        <v>22.8</v>
      </c>
      <c r="F727" s="93">
        <v>1520000000.0000002</v>
      </c>
      <c r="G727" s="93">
        <v>1654729000</v>
      </c>
      <c r="H727" s="117">
        <v>0.92</v>
      </c>
      <c r="I727" s="117">
        <v>0</v>
      </c>
    </row>
    <row r="728" spans="1:9">
      <c r="A728" s="116">
        <v>3527</v>
      </c>
      <c r="B728" s="91">
        <v>1.1200000000000001</v>
      </c>
      <c r="C728" s="92">
        <v>0.97435897435897434</v>
      </c>
      <c r="D728" s="94">
        <v>32142857.142857138</v>
      </c>
      <c r="E728" s="91">
        <f>VLOOKUP(3527,收盤價!A:C,3,0)</f>
        <v>41.45</v>
      </c>
      <c r="F728" s="93">
        <v>1332321428.5714285</v>
      </c>
      <c r="G728" s="93">
        <v>2078613000</v>
      </c>
      <c r="H728" s="117">
        <v>0.64</v>
      </c>
      <c r="I728" s="117">
        <v>9.5</v>
      </c>
    </row>
    <row r="729" spans="1:9">
      <c r="A729" s="116">
        <v>3528</v>
      </c>
      <c r="B729" s="91">
        <v>0.84</v>
      </c>
      <c r="C729" s="92">
        <v>0.90384615384615385</v>
      </c>
      <c r="D729" s="94">
        <v>57142857.142857142</v>
      </c>
      <c r="E729" s="91">
        <f>VLOOKUP(3528,收盤價!A:C,3,0)</f>
        <v>31.2</v>
      </c>
      <c r="F729" s="93">
        <v>1782857142.8571427</v>
      </c>
      <c r="G729" s="93">
        <v>3279762000</v>
      </c>
      <c r="H729" s="117">
        <v>0.54</v>
      </c>
      <c r="I729" s="117">
        <v>10.27</v>
      </c>
    </row>
    <row r="730" spans="1:9">
      <c r="A730" s="116">
        <v>3529</v>
      </c>
      <c r="B730" s="91">
        <v>1.72</v>
      </c>
      <c r="C730" s="92">
        <v>0.96721311475409832</v>
      </c>
      <c r="D730" s="94">
        <v>75581395.348837212</v>
      </c>
      <c r="E730" s="91">
        <f>VLOOKUP(3529,收盤價!A:C,3,0)</f>
        <v>316</v>
      </c>
      <c r="F730" s="93">
        <v>23883720930.232559</v>
      </c>
      <c r="G730" s="93">
        <v>1067147000</v>
      </c>
      <c r="H730" s="117">
        <v>22.38</v>
      </c>
      <c r="I730" s="117">
        <v>47.49</v>
      </c>
    </row>
    <row r="731" spans="1:9">
      <c r="A731" s="116">
        <v>3531</v>
      </c>
      <c r="B731" s="91">
        <v>-0.04</v>
      </c>
      <c r="C731" s="92">
        <v>1</v>
      </c>
      <c r="D731" s="94">
        <v>75000000</v>
      </c>
      <c r="E731" s="91">
        <f>VLOOKUP(3531,收盤價!A:C,3,0)</f>
        <v>15.9</v>
      </c>
      <c r="F731" s="93">
        <v>1192500000</v>
      </c>
      <c r="G731" s="93">
        <v>1833569000</v>
      </c>
      <c r="H731" s="117">
        <v>0.65</v>
      </c>
      <c r="I731" s="117">
        <v>0</v>
      </c>
    </row>
    <row r="732" spans="1:9">
      <c r="A732" s="116">
        <v>6456</v>
      </c>
      <c r="B732" s="91">
        <v>0.34</v>
      </c>
      <c r="C732" s="92">
        <v>0</v>
      </c>
      <c r="D732" s="94">
        <v>288235294.11764705</v>
      </c>
      <c r="E732" s="91">
        <f>VLOOKUP(6456,收盤價!A:C,3,0)</f>
        <v>125.5</v>
      </c>
      <c r="F732" s="93">
        <v>36173529411.764702</v>
      </c>
      <c r="G732" s="93">
        <v>29048483000</v>
      </c>
      <c r="H732" s="117">
        <v>1.25</v>
      </c>
      <c r="I732" s="117">
        <v>0</v>
      </c>
    </row>
    <row r="733" spans="1:9">
      <c r="A733" s="116">
        <v>3533</v>
      </c>
      <c r="B733" s="91">
        <v>0.85</v>
      </c>
      <c r="C733" s="92">
        <v>0.63773584905660374</v>
      </c>
      <c r="D733" s="94">
        <v>92941176.470588237</v>
      </c>
      <c r="E733" s="91">
        <f>VLOOKUP(3533,收盤價!A:C,3,0)</f>
        <v>102.5</v>
      </c>
      <c r="F733" s="93">
        <v>9526470588.2352943</v>
      </c>
      <c r="G733" s="93">
        <v>7960130000</v>
      </c>
      <c r="H733" s="117">
        <v>1.2</v>
      </c>
      <c r="I733" s="117">
        <v>47.27</v>
      </c>
    </row>
    <row r="734" spans="1:9">
      <c r="A734" s="116">
        <v>3535</v>
      </c>
      <c r="B734" s="91">
        <v>-0.08</v>
      </c>
      <c r="C734" s="92">
        <v>1</v>
      </c>
      <c r="D734" s="94">
        <v>75000000</v>
      </c>
      <c r="E734" s="91">
        <f>VLOOKUP(3535,收盤價!A:C,3,0)</f>
        <v>10.6</v>
      </c>
      <c r="F734" s="93">
        <v>795000000</v>
      </c>
      <c r="G734" s="93">
        <v>851153000</v>
      </c>
      <c r="H734" s="117">
        <v>0.93</v>
      </c>
      <c r="I734" s="117">
        <v>0</v>
      </c>
    </row>
    <row r="735" spans="1:9">
      <c r="A735" s="116">
        <v>3536</v>
      </c>
      <c r="B735" s="91">
        <v>-0.2</v>
      </c>
      <c r="C735" s="92">
        <v>0.98275862068965514</v>
      </c>
      <c r="D735" s="94">
        <v>100000000</v>
      </c>
      <c r="E735" s="91">
        <f>VLOOKUP(3536,收盤價!A:C,3,0)</f>
        <v>6.44</v>
      </c>
      <c r="F735" s="93">
        <v>644000000</v>
      </c>
      <c r="G735" s="93">
        <v>1271038000</v>
      </c>
      <c r="H735" s="117">
        <v>0.51</v>
      </c>
      <c r="I735" s="117">
        <v>0</v>
      </c>
    </row>
    <row r="736" spans="1:9">
      <c r="A736" s="116">
        <v>3537</v>
      </c>
      <c r="B736" s="91">
        <v>0.2</v>
      </c>
      <c r="C736" s="92">
        <v>1</v>
      </c>
      <c r="D736" s="94">
        <v>50000000</v>
      </c>
      <c r="E736" s="91">
        <f>VLOOKUP(3537,收盤價!A:C,3,0)</f>
        <v>17.350000000000001</v>
      </c>
      <c r="F736" s="93">
        <v>867500000.00000012</v>
      </c>
      <c r="G736" s="93">
        <v>2007330000</v>
      </c>
      <c r="H736" s="117">
        <v>0.43</v>
      </c>
      <c r="I736" s="117">
        <v>21.69</v>
      </c>
    </row>
    <row r="737" spans="1:9">
      <c r="A737" s="116">
        <v>3540</v>
      </c>
      <c r="B737" s="91">
        <v>0.05</v>
      </c>
      <c r="C737" s="92">
        <v>0</v>
      </c>
      <c r="D737" s="94">
        <v>60000000</v>
      </c>
      <c r="E737" s="91">
        <f>VLOOKUP(3540,收盤價!A:C,3,0)</f>
        <v>14.2</v>
      </c>
      <c r="F737" s="93">
        <v>852000000</v>
      </c>
      <c r="G737" s="93">
        <v>2608243000</v>
      </c>
      <c r="H737" s="117">
        <v>0.33</v>
      </c>
      <c r="I737" s="117">
        <v>0</v>
      </c>
    </row>
    <row r="738" spans="1:9">
      <c r="A738" s="116">
        <v>3541</v>
      </c>
      <c r="B738" s="91">
        <v>0.72</v>
      </c>
      <c r="C738" s="92">
        <v>0.9642857142857143</v>
      </c>
      <c r="D738" s="94">
        <v>44444444.444444448</v>
      </c>
      <c r="E738" s="91">
        <f>VLOOKUP(3541,收盤價!A:C,3,0)</f>
        <v>93</v>
      </c>
      <c r="F738" s="93">
        <v>4133333333.3333335</v>
      </c>
      <c r="G738" s="93">
        <v>1399914000</v>
      </c>
      <c r="H738" s="117">
        <v>2.95</v>
      </c>
      <c r="I738" s="117">
        <v>33.49</v>
      </c>
    </row>
    <row r="739" spans="1:9">
      <c r="A739" s="116">
        <v>1321</v>
      </c>
      <c r="B739" s="91">
        <v>0.11</v>
      </c>
      <c r="C739" s="92">
        <v>0.25925925925925924</v>
      </c>
      <c r="D739" s="94">
        <v>209090909.09090909</v>
      </c>
      <c r="E739" s="91">
        <f>VLOOKUP(1321,收盤價!A:C,3,0)</f>
        <v>28.9</v>
      </c>
      <c r="F739" s="93">
        <v>6042727272.727272</v>
      </c>
      <c r="G739" s="93">
        <v>4882840000</v>
      </c>
      <c r="H739" s="117">
        <v>1.24</v>
      </c>
      <c r="I739" s="117">
        <v>253.34</v>
      </c>
    </row>
    <row r="740" spans="1:9">
      <c r="A740" s="116">
        <v>3546</v>
      </c>
      <c r="B740" s="91">
        <v>-1.37</v>
      </c>
      <c r="C740" s="92">
        <v>0.91803278688524592</v>
      </c>
      <c r="D740" s="94">
        <v>34306569.343065694</v>
      </c>
      <c r="E740" s="91">
        <f>VLOOKUP(3546,收盤價!A:C,3,0)</f>
        <v>35.799999999999997</v>
      </c>
      <c r="F740" s="93">
        <v>1228175182.4817517</v>
      </c>
      <c r="G740" s="93">
        <v>647721000</v>
      </c>
      <c r="H740" s="117">
        <v>1.9</v>
      </c>
      <c r="I740" s="117">
        <v>0</v>
      </c>
    </row>
    <row r="741" spans="1:9">
      <c r="A741" s="116">
        <v>3548</v>
      </c>
      <c r="B741" s="91">
        <v>0.01</v>
      </c>
      <c r="C741" s="92">
        <v>0.57894736842105265</v>
      </c>
      <c r="D741" s="94">
        <v>100000000</v>
      </c>
      <c r="E741" s="91">
        <f>VLOOKUP(3548,收盤價!A:C,3,0)</f>
        <v>32.6</v>
      </c>
      <c r="F741" s="93">
        <v>3260000000</v>
      </c>
      <c r="G741" s="93">
        <v>3560894000</v>
      </c>
      <c r="H741" s="117">
        <v>0.92</v>
      </c>
      <c r="I741" s="117">
        <v>1407.73</v>
      </c>
    </row>
    <row r="742" spans="1:9">
      <c r="A742" s="116">
        <v>3550</v>
      </c>
      <c r="B742" s="91">
        <v>0.24</v>
      </c>
      <c r="C742" s="92">
        <v>1</v>
      </c>
      <c r="D742" s="94">
        <v>83333333.333333343</v>
      </c>
      <c r="E742" s="91">
        <f>VLOOKUP(3550,收盤價!A:C,3,0)</f>
        <v>11.65</v>
      </c>
      <c r="F742" s="93">
        <v>970833333.33333349</v>
      </c>
      <c r="G742" s="93">
        <v>3644274000</v>
      </c>
      <c r="H742" s="117">
        <v>0.27</v>
      </c>
      <c r="I742" s="117">
        <v>12.14</v>
      </c>
    </row>
    <row r="743" spans="1:9">
      <c r="A743" s="116">
        <v>3551</v>
      </c>
      <c r="B743" s="91">
        <v>1.04</v>
      </c>
      <c r="C743" s="92">
        <v>0.8936170212765957</v>
      </c>
      <c r="D743" s="94">
        <v>57692307.692307688</v>
      </c>
      <c r="E743" s="91">
        <f>VLOOKUP(3551,收盤價!A:C,3,0)</f>
        <v>34.700000000000003</v>
      </c>
      <c r="F743" s="93">
        <v>2001923076.9230769</v>
      </c>
      <c r="G743" s="93">
        <v>1458973000</v>
      </c>
      <c r="H743" s="117">
        <v>1.37</v>
      </c>
      <c r="I743" s="117">
        <v>9.33</v>
      </c>
    </row>
    <row r="744" spans="1:9">
      <c r="A744" s="116">
        <v>3552</v>
      </c>
      <c r="B744" s="91">
        <v>2</v>
      </c>
      <c r="C744" s="92">
        <v>1</v>
      </c>
      <c r="D744" s="94">
        <v>84500000</v>
      </c>
      <c r="E744" s="91">
        <f>VLOOKUP(3552,收盤價!A:C,3,0)</f>
        <v>230.5</v>
      </c>
      <c r="F744" s="93">
        <v>19477250000</v>
      </c>
      <c r="G744" s="93">
        <v>5992976000</v>
      </c>
      <c r="H744" s="117">
        <v>3.25</v>
      </c>
      <c r="I744" s="117">
        <v>28.81</v>
      </c>
    </row>
    <row r="745" spans="1:9">
      <c r="A745" s="116">
        <v>3553</v>
      </c>
      <c r="B745" s="91">
        <v>0.01</v>
      </c>
      <c r="C745" s="92">
        <v>1</v>
      </c>
      <c r="D745" s="94">
        <v>100000000</v>
      </c>
      <c r="E745" s="91">
        <f>VLOOKUP(3553,收盤價!A:C,3,0)</f>
        <v>15.2</v>
      </c>
      <c r="F745" s="93">
        <v>1520000000</v>
      </c>
      <c r="G745" s="93">
        <v>2723412000</v>
      </c>
      <c r="H745" s="117">
        <v>0.56000000000000005</v>
      </c>
      <c r="I745" s="117">
        <v>380</v>
      </c>
    </row>
    <row r="746" spans="1:9">
      <c r="A746" s="116">
        <v>3555</v>
      </c>
      <c r="B746" s="91">
        <v>-1.06</v>
      </c>
      <c r="C746" s="92">
        <v>0.99099099099099097</v>
      </c>
      <c r="D746" s="94">
        <v>52830188.679245278</v>
      </c>
      <c r="E746" s="91">
        <f>VLOOKUP(3555,收盤價!A:C,3,0)</f>
        <v>7.63</v>
      </c>
      <c r="F746" s="93">
        <v>403094339.62264144</v>
      </c>
      <c r="G746" s="93">
        <v>318822000</v>
      </c>
      <c r="H746" s="117">
        <v>1.26</v>
      </c>
      <c r="I746" s="117">
        <v>0</v>
      </c>
    </row>
    <row r="747" spans="1:9">
      <c r="A747" s="116">
        <v>3556</v>
      </c>
      <c r="B747" s="91">
        <v>1.43</v>
      </c>
      <c r="C747" s="92">
        <v>0.97580645161290325</v>
      </c>
      <c r="D747" s="94">
        <v>53146853.146853149</v>
      </c>
      <c r="E747" s="91">
        <f>VLOOKUP(3556,收盤價!A:C,3,0)</f>
        <v>58.2</v>
      </c>
      <c r="F747" s="93">
        <v>3093146853.1468534</v>
      </c>
      <c r="G747" s="93">
        <v>980396000</v>
      </c>
      <c r="H747" s="117">
        <v>3.15</v>
      </c>
      <c r="I747" s="117">
        <v>10.43</v>
      </c>
    </row>
    <row r="748" spans="1:9">
      <c r="A748" s="116">
        <v>3557</v>
      </c>
      <c r="B748" s="91">
        <v>-0.19</v>
      </c>
      <c r="C748" s="92">
        <v>0.82352941176470584</v>
      </c>
      <c r="D748" s="94">
        <v>110526315.78947368</v>
      </c>
      <c r="E748" s="91">
        <f>VLOOKUP(3557,收盤價!A:C,3,0)</f>
        <v>4.38</v>
      </c>
      <c r="F748" s="93">
        <v>484105263.15789473</v>
      </c>
      <c r="G748" s="93">
        <v>812547000</v>
      </c>
      <c r="H748" s="117">
        <v>0.6</v>
      </c>
      <c r="I748" s="117">
        <v>0</v>
      </c>
    </row>
    <row r="749" spans="1:9">
      <c r="A749" s="116">
        <v>3558</v>
      </c>
      <c r="B749" s="91">
        <v>4</v>
      </c>
      <c r="C749" s="92">
        <v>0.81770833333333337</v>
      </c>
      <c r="D749" s="94">
        <v>49000000</v>
      </c>
      <c r="E749" s="91">
        <f>VLOOKUP(3558,收盤價!A:C,3,0)</f>
        <v>211.5</v>
      </c>
      <c r="F749" s="93">
        <v>10363500000</v>
      </c>
      <c r="G749" s="93">
        <v>7326639000</v>
      </c>
      <c r="H749" s="117">
        <v>1.41</v>
      </c>
      <c r="I749" s="117">
        <v>16.170000000000002</v>
      </c>
    </row>
    <row r="750" spans="1:9">
      <c r="A750" s="116">
        <v>3559</v>
      </c>
      <c r="B750" s="91">
        <v>0.57999999999999996</v>
      </c>
      <c r="C750" s="92">
        <v>0.94117647058823528</v>
      </c>
      <c r="D750" s="94">
        <v>118965517.24137932</v>
      </c>
      <c r="E750" s="91">
        <f>VLOOKUP(3559,收盤價!A:C,3,0)</f>
        <v>21.35</v>
      </c>
      <c r="F750" s="93">
        <v>2539913793.1034489</v>
      </c>
      <c r="G750" s="93">
        <v>1518292000</v>
      </c>
      <c r="H750" s="117">
        <v>1.67</v>
      </c>
      <c r="I750" s="117">
        <v>9.7799999999999994</v>
      </c>
    </row>
    <row r="751" spans="1:9">
      <c r="A751" s="116">
        <v>1611</v>
      </c>
      <c r="B751" s="91">
        <v>-0.36</v>
      </c>
      <c r="C751" s="92">
        <v>0</v>
      </c>
      <c r="D751" s="94">
        <v>394444444.44444448</v>
      </c>
      <c r="E751" s="91">
        <f>VLOOKUP(1611,收盤價!A:C,3,0)</f>
        <v>8.51</v>
      </c>
      <c r="F751" s="93">
        <v>3356722222.2222223</v>
      </c>
      <c r="G751" s="93">
        <v>2744090000</v>
      </c>
      <c r="H751" s="117">
        <v>1.22</v>
      </c>
      <c r="I751" s="117">
        <v>0</v>
      </c>
    </row>
    <row r="752" spans="1:9">
      <c r="A752" s="116">
        <v>3562</v>
      </c>
      <c r="B752" s="91">
        <v>0.24</v>
      </c>
      <c r="C752" s="92">
        <v>1</v>
      </c>
      <c r="D752" s="94">
        <v>54166666.666666672</v>
      </c>
      <c r="E752" s="91">
        <f>VLOOKUP(3562,收盤價!A:C,3,0)</f>
        <v>0</v>
      </c>
      <c r="F752" s="93">
        <v>0</v>
      </c>
      <c r="G752" s="93">
        <v>1055765000</v>
      </c>
      <c r="H752" s="117">
        <v>0</v>
      </c>
      <c r="I752" s="117">
        <v>0</v>
      </c>
    </row>
    <row r="753" spans="1:9">
      <c r="A753" s="116">
        <v>3563</v>
      </c>
      <c r="B753" s="91">
        <v>0.93</v>
      </c>
      <c r="C753" s="92">
        <v>1</v>
      </c>
      <c r="D753" s="94">
        <v>43010752.688172042</v>
      </c>
      <c r="E753" s="91">
        <f>VLOOKUP(3563,收盤價!A:C,3,0)</f>
        <v>40.75</v>
      </c>
      <c r="F753" s="93">
        <v>1752688172.0430107</v>
      </c>
      <c r="G753" s="93">
        <v>629622000</v>
      </c>
      <c r="H753" s="117">
        <v>2.78</v>
      </c>
      <c r="I753" s="117">
        <v>10.95</v>
      </c>
    </row>
    <row r="754" spans="1:9">
      <c r="A754" s="116">
        <v>3564</v>
      </c>
      <c r="B754" s="91">
        <v>2.5</v>
      </c>
      <c r="C754" s="92">
        <v>1</v>
      </c>
      <c r="D754" s="94">
        <v>20400000</v>
      </c>
      <c r="E754" s="91">
        <f>VLOOKUP(3564,收盤價!A:C,3,0)</f>
        <v>70.2</v>
      </c>
      <c r="F754" s="93">
        <v>1432080000</v>
      </c>
      <c r="G754" s="93">
        <v>1337577000</v>
      </c>
      <c r="H754" s="117">
        <v>1.07</v>
      </c>
      <c r="I754" s="117">
        <v>7.02</v>
      </c>
    </row>
    <row r="755" spans="1:9">
      <c r="A755" s="116">
        <v>3567</v>
      </c>
      <c r="B755" s="91">
        <v>0.23</v>
      </c>
      <c r="C755" s="92">
        <v>0.8666666666666667</v>
      </c>
      <c r="D755" s="94">
        <v>34782608.695652172</v>
      </c>
      <c r="E755" s="91">
        <f>VLOOKUP(3567,收盤價!A:C,3,0)</f>
        <v>11.3</v>
      </c>
      <c r="F755" s="93">
        <v>393043478.26086956</v>
      </c>
      <c r="G755" s="93">
        <v>341953000</v>
      </c>
      <c r="H755" s="117">
        <v>1.1499999999999999</v>
      </c>
      <c r="I755" s="117">
        <v>14.17</v>
      </c>
    </row>
    <row r="756" spans="1:9">
      <c r="A756" s="116">
        <v>3570</v>
      </c>
      <c r="B756" s="91">
        <v>1.0900000000000001</v>
      </c>
      <c r="C756" s="92">
        <v>1</v>
      </c>
      <c r="D756" s="94">
        <v>17431192.660550456</v>
      </c>
      <c r="E756" s="91">
        <f>VLOOKUP(3570,收盤價!A:C,3,0)</f>
        <v>78.599999999999994</v>
      </c>
      <c r="F756" s="93">
        <v>1370091743.1192658</v>
      </c>
      <c r="G756" s="93">
        <v>958150000</v>
      </c>
      <c r="H756" s="117">
        <v>1.43</v>
      </c>
      <c r="I756" s="117">
        <v>18.03</v>
      </c>
    </row>
    <row r="757" spans="1:9">
      <c r="A757" s="116">
        <v>3573</v>
      </c>
      <c r="B757" s="91">
        <v>-1.4</v>
      </c>
      <c r="C757" s="92">
        <v>0.90614886731391586</v>
      </c>
      <c r="D757" s="94">
        <v>136428571.42857143</v>
      </c>
      <c r="E757" s="91">
        <f>VLOOKUP(3573,收盤價!A:C,3,0)</f>
        <v>18.350000000000001</v>
      </c>
      <c r="F757" s="93">
        <v>2503464285.7142859</v>
      </c>
      <c r="G757" s="93">
        <v>3276943000</v>
      </c>
      <c r="H757" s="117">
        <v>0.76</v>
      </c>
      <c r="I757" s="117">
        <v>0</v>
      </c>
    </row>
    <row r="758" spans="1:9">
      <c r="A758" s="116">
        <v>3576</v>
      </c>
      <c r="B758" s="91">
        <v>-0.9</v>
      </c>
      <c r="C758" s="92">
        <v>0.91247974068071314</v>
      </c>
      <c r="D758" s="94">
        <v>852222222.22222221</v>
      </c>
      <c r="E758" s="91">
        <f>VLOOKUP(3576,收盤價!A:C,3,0)</f>
        <v>22.25</v>
      </c>
      <c r="F758" s="93">
        <v>18961944444.444443</v>
      </c>
      <c r="G758" s="93">
        <v>22304161000</v>
      </c>
      <c r="H758" s="117">
        <v>0.85</v>
      </c>
      <c r="I758" s="117">
        <v>0</v>
      </c>
    </row>
    <row r="759" spans="1:9">
      <c r="A759" s="116">
        <v>3577</v>
      </c>
      <c r="B759" s="91">
        <v>0.42</v>
      </c>
      <c r="C759" s="92">
        <v>1</v>
      </c>
      <c r="D759" s="94">
        <v>42857142.857142858</v>
      </c>
      <c r="E759" s="91">
        <f>VLOOKUP(3577,收盤價!A:C,3,0)</f>
        <v>31.85</v>
      </c>
      <c r="F759" s="93">
        <v>1365000000</v>
      </c>
      <c r="G759" s="93">
        <v>723787000</v>
      </c>
      <c r="H759" s="117">
        <v>1.89</v>
      </c>
      <c r="I759" s="117">
        <v>18.96</v>
      </c>
    </row>
    <row r="760" spans="1:9">
      <c r="A760" s="116">
        <v>3579</v>
      </c>
      <c r="B760" s="91">
        <v>-1.67</v>
      </c>
      <c r="C760" s="92">
        <v>1</v>
      </c>
      <c r="D760" s="94">
        <v>115568862.27544911</v>
      </c>
      <c r="E760" s="91">
        <f>VLOOKUP(3579,收盤價!A:C,3,0)</f>
        <v>14.2</v>
      </c>
      <c r="F760" s="93">
        <v>1641077844.3113773</v>
      </c>
      <c r="G760" s="93">
        <v>15964727000</v>
      </c>
      <c r="H760" s="117">
        <v>0.1</v>
      </c>
      <c r="I760" s="117">
        <v>0</v>
      </c>
    </row>
    <row r="761" spans="1:9">
      <c r="A761" s="116">
        <v>3580</v>
      </c>
      <c r="B761" s="91">
        <v>-0.82</v>
      </c>
      <c r="C761" s="92">
        <v>0.71641791044776115</v>
      </c>
      <c r="D761" s="94">
        <v>50000000</v>
      </c>
      <c r="E761" s="91">
        <f>VLOOKUP(3580,收盤價!A:C,3,0)</f>
        <v>5.92</v>
      </c>
      <c r="F761" s="93">
        <v>296000000</v>
      </c>
      <c r="G761" s="93">
        <v>575794000</v>
      </c>
      <c r="H761" s="117">
        <v>0.51</v>
      </c>
      <c r="I761" s="117">
        <v>0</v>
      </c>
    </row>
    <row r="762" spans="1:9">
      <c r="A762" s="116">
        <v>3581</v>
      </c>
      <c r="B762" s="91">
        <v>0.03</v>
      </c>
      <c r="C762" s="92">
        <v>1</v>
      </c>
      <c r="D762" s="94">
        <v>33333333.333333336</v>
      </c>
      <c r="E762" s="91">
        <f>VLOOKUP(3581,收盤價!A:C,3,0)</f>
        <v>15.1</v>
      </c>
      <c r="F762" s="93">
        <v>503333333.33333337</v>
      </c>
      <c r="G762" s="93">
        <v>893299000</v>
      </c>
      <c r="H762" s="117">
        <v>0.56000000000000005</v>
      </c>
      <c r="I762" s="117">
        <v>125.83</v>
      </c>
    </row>
    <row r="763" spans="1:9">
      <c r="A763" s="116">
        <v>3583</v>
      </c>
      <c r="B763" s="91">
        <v>-0.01</v>
      </c>
      <c r="C763" s="92">
        <v>1</v>
      </c>
      <c r="D763" s="94">
        <v>100000000</v>
      </c>
      <c r="E763" s="91">
        <f>VLOOKUP(3583,收盤價!A:C,3,0)</f>
        <v>62.5</v>
      </c>
      <c r="F763" s="93">
        <v>6250000000</v>
      </c>
      <c r="G763" s="93">
        <v>2875637000</v>
      </c>
      <c r="H763" s="117">
        <v>2.17</v>
      </c>
      <c r="I763" s="117">
        <v>0</v>
      </c>
    </row>
    <row r="764" spans="1:9">
      <c r="A764" s="116">
        <v>3584</v>
      </c>
      <c r="B764" s="91">
        <v>-2.61</v>
      </c>
      <c r="C764" s="92">
        <v>0.93931398416886547</v>
      </c>
      <c r="D764" s="94">
        <v>140996168.5823755</v>
      </c>
      <c r="E764" s="91">
        <f>VLOOKUP(3584,收盤價!A:C,3,0)</f>
        <v>8.57</v>
      </c>
      <c r="F764" s="93">
        <v>1208337164.750958</v>
      </c>
      <c r="G764" s="93">
        <v>7045748000</v>
      </c>
      <c r="H764" s="117">
        <v>0.17</v>
      </c>
      <c r="I764" s="117">
        <v>0</v>
      </c>
    </row>
    <row r="765" spans="1:9">
      <c r="A765" s="116">
        <v>3587</v>
      </c>
      <c r="B765" s="91">
        <v>0.8</v>
      </c>
      <c r="C765" s="92">
        <v>1</v>
      </c>
      <c r="D765" s="94">
        <v>46250000</v>
      </c>
      <c r="E765" s="91">
        <f>VLOOKUP(3587,收盤價!A:C,3,0)</f>
        <v>62.9</v>
      </c>
      <c r="F765" s="93">
        <v>2909125000</v>
      </c>
      <c r="G765" s="93">
        <v>1040776000</v>
      </c>
      <c r="H765" s="117">
        <v>2.8</v>
      </c>
      <c r="I765" s="117">
        <v>19.66</v>
      </c>
    </row>
    <row r="766" spans="1:9">
      <c r="A766" s="116">
        <v>3588</v>
      </c>
      <c r="B766" s="91">
        <v>0.48</v>
      </c>
      <c r="C766" s="92">
        <v>0.95348837209302328</v>
      </c>
      <c r="D766" s="94">
        <v>45833333.333333336</v>
      </c>
      <c r="E766" s="91">
        <f>VLOOKUP(3588,收盤價!A:C,3,0)</f>
        <v>31.6</v>
      </c>
      <c r="F766" s="93">
        <v>1448333333.3333335</v>
      </c>
      <c r="G766" s="93">
        <v>1035669000</v>
      </c>
      <c r="H766" s="117">
        <v>1.4</v>
      </c>
      <c r="I766" s="117">
        <v>17.260000000000002</v>
      </c>
    </row>
    <row r="767" spans="1:9">
      <c r="A767" s="116">
        <v>3591</v>
      </c>
      <c r="B767" s="91">
        <v>-0.12</v>
      </c>
      <c r="C767" s="92">
        <v>0</v>
      </c>
      <c r="D767" s="94">
        <v>125000000</v>
      </c>
      <c r="E767" s="91">
        <f>VLOOKUP(3591,收盤價!A:C,3,0)</f>
        <v>19.05</v>
      </c>
      <c r="F767" s="93">
        <v>2381250000</v>
      </c>
      <c r="G767" s="93">
        <v>3323374000</v>
      </c>
      <c r="H767" s="117">
        <v>0.72</v>
      </c>
      <c r="I767" s="117">
        <v>0</v>
      </c>
    </row>
    <row r="768" spans="1:9">
      <c r="A768" s="116">
        <v>3593</v>
      </c>
      <c r="B768" s="91">
        <v>-0.66</v>
      </c>
      <c r="C768" s="92">
        <v>0.70909090909090911</v>
      </c>
      <c r="D768" s="94">
        <v>112121212.12121211</v>
      </c>
      <c r="E768" s="91">
        <f>VLOOKUP(3593,收盤價!A:C,3,0)</f>
        <v>8.5399999999999991</v>
      </c>
      <c r="F768" s="93">
        <v>957515151.51515138</v>
      </c>
      <c r="G768" s="93">
        <v>466628000</v>
      </c>
      <c r="H768" s="117">
        <v>2.0499999999999998</v>
      </c>
      <c r="I768" s="117">
        <v>0</v>
      </c>
    </row>
    <row r="769" spans="1:9">
      <c r="A769" s="116">
        <v>3596</v>
      </c>
      <c r="B769" s="91">
        <v>0.28999999999999998</v>
      </c>
      <c r="C769" s="92">
        <v>0.97590361445783136</v>
      </c>
      <c r="D769" s="94">
        <v>186206896.55172414</v>
      </c>
      <c r="E769" s="91">
        <f>VLOOKUP(3596,收盤價!A:C,3,0)</f>
        <v>30.4</v>
      </c>
      <c r="F769" s="93">
        <v>5660689655.1724138</v>
      </c>
      <c r="G769" s="93">
        <v>18902451000</v>
      </c>
      <c r="H769" s="117">
        <v>0.3</v>
      </c>
      <c r="I769" s="117">
        <v>26.85</v>
      </c>
    </row>
    <row r="770" spans="1:9">
      <c r="A770" s="116">
        <v>3598</v>
      </c>
      <c r="B770" s="91">
        <v>0.56000000000000005</v>
      </c>
      <c r="C770" s="92">
        <v>1</v>
      </c>
      <c r="D770" s="94">
        <v>73214285.714285702</v>
      </c>
      <c r="E770" s="91">
        <f>VLOOKUP(3598,收盤價!A:C,3,0)</f>
        <v>49.1</v>
      </c>
      <c r="F770" s="93">
        <v>3594821428.5714278</v>
      </c>
      <c r="G770" s="93">
        <v>8881927000</v>
      </c>
      <c r="H770" s="117">
        <v>0.4</v>
      </c>
      <c r="I770" s="117">
        <v>21.92</v>
      </c>
    </row>
    <row r="771" spans="1:9">
      <c r="A771" s="116">
        <v>3605</v>
      </c>
      <c r="B771" s="91">
        <v>-0.14000000000000001</v>
      </c>
      <c r="C771" s="92">
        <v>0</v>
      </c>
      <c r="D771" s="94">
        <v>121428571.42857142</v>
      </c>
      <c r="E771" s="91">
        <f>VLOOKUP(3605,收盤價!A:C,3,0)</f>
        <v>23.6</v>
      </c>
      <c r="F771" s="93">
        <v>2865714285.7142859</v>
      </c>
      <c r="G771" s="93">
        <v>3704911000</v>
      </c>
      <c r="H771" s="117">
        <v>0.77</v>
      </c>
      <c r="I771" s="117">
        <v>0</v>
      </c>
    </row>
    <row r="772" spans="1:9">
      <c r="A772" s="116">
        <v>3607</v>
      </c>
      <c r="B772" s="91">
        <v>1.1299999999999999</v>
      </c>
      <c r="C772" s="92">
        <v>0.9833795013850416</v>
      </c>
      <c r="D772" s="94">
        <v>123008849.55752213</v>
      </c>
      <c r="E772" s="91">
        <f>VLOOKUP(3607,收盤價!A:C,3,0)</f>
        <v>60.4</v>
      </c>
      <c r="F772" s="93">
        <v>7429734513.2743368</v>
      </c>
      <c r="G772" s="93">
        <v>10666148000</v>
      </c>
      <c r="H772" s="117">
        <v>0.7</v>
      </c>
      <c r="I772" s="117">
        <v>13.59</v>
      </c>
    </row>
    <row r="773" spans="1:9">
      <c r="A773" s="116">
        <v>3609</v>
      </c>
      <c r="B773" s="91">
        <v>-0.25</v>
      </c>
      <c r="C773" s="92">
        <v>1</v>
      </c>
      <c r="D773" s="94">
        <v>28000000</v>
      </c>
      <c r="E773" s="91">
        <f>VLOOKUP(3609,收盤價!A:C,3,0)</f>
        <v>13.05</v>
      </c>
      <c r="F773" s="93">
        <v>365400000</v>
      </c>
      <c r="G773" s="93">
        <v>825160000</v>
      </c>
      <c r="H773" s="117">
        <v>0.44</v>
      </c>
      <c r="I773" s="117">
        <v>0</v>
      </c>
    </row>
    <row r="774" spans="1:9">
      <c r="A774" s="116">
        <v>3611</v>
      </c>
      <c r="B774" s="91">
        <v>4.46</v>
      </c>
      <c r="C774" s="92">
        <v>1</v>
      </c>
      <c r="D774" s="94">
        <v>38116591.928251125</v>
      </c>
      <c r="E774" s="91">
        <f>VLOOKUP(3611,收盤價!A:C,3,0)</f>
        <v>250.5</v>
      </c>
      <c r="F774" s="93">
        <v>9548206278.026907</v>
      </c>
      <c r="G774" s="93">
        <v>2606940000</v>
      </c>
      <c r="H774" s="117">
        <v>3.66</v>
      </c>
      <c r="I774" s="117">
        <v>14.04</v>
      </c>
    </row>
    <row r="775" spans="1:9">
      <c r="A775" s="116">
        <v>3615</v>
      </c>
      <c r="B775" s="91">
        <v>7.0000000000000007E-2</v>
      </c>
      <c r="C775" s="92">
        <v>0</v>
      </c>
      <c r="D775" s="94">
        <v>71428571.428571418</v>
      </c>
      <c r="E775" s="91">
        <f>VLOOKUP(3615,收盤價!A:C,3,0)</f>
        <v>17.3</v>
      </c>
      <c r="F775" s="93">
        <v>1235714285.7142856</v>
      </c>
      <c r="G775" s="93">
        <v>750775000</v>
      </c>
      <c r="H775" s="117">
        <v>1.65</v>
      </c>
      <c r="I775" s="117">
        <v>0</v>
      </c>
    </row>
    <row r="776" spans="1:9">
      <c r="A776" s="116">
        <v>3617</v>
      </c>
      <c r="B776" s="91">
        <v>1.55</v>
      </c>
      <c r="C776" s="92">
        <v>1</v>
      </c>
      <c r="D776" s="94">
        <v>80645161.290322572</v>
      </c>
      <c r="E776" s="91">
        <f>VLOOKUP(3617,收盤價!A:C,3,0)</f>
        <v>80.7</v>
      </c>
      <c r="F776" s="93">
        <v>6508064516.1290321</v>
      </c>
      <c r="G776" s="93">
        <v>5845666000</v>
      </c>
      <c r="H776" s="117">
        <v>1.1100000000000001</v>
      </c>
      <c r="I776" s="117">
        <v>13.02</v>
      </c>
    </row>
    <row r="777" spans="1:9">
      <c r="A777" s="116">
        <v>3622</v>
      </c>
      <c r="B777" s="91">
        <v>-2.16</v>
      </c>
      <c r="C777" s="92">
        <v>0.80535714285714288</v>
      </c>
      <c r="D777" s="94">
        <v>151388888.88888887</v>
      </c>
      <c r="E777" s="91">
        <f>VLOOKUP(3622,收盤價!A:C,3,0)</f>
        <v>11.85</v>
      </c>
      <c r="F777" s="93">
        <v>1793958333.333333</v>
      </c>
      <c r="G777" s="93">
        <v>3043817000</v>
      </c>
      <c r="H777" s="117">
        <v>0.59</v>
      </c>
      <c r="I777" s="117">
        <v>0</v>
      </c>
    </row>
    <row r="778" spans="1:9">
      <c r="A778" s="116">
        <v>3623</v>
      </c>
      <c r="B778" s="91">
        <v>0.7</v>
      </c>
      <c r="C778" s="92">
        <v>1</v>
      </c>
      <c r="D778" s="94">
        <v>58571428.571428575</v>
      </c>
      <c r="E778" s="91">
        <f>VLOOKUP(3623,收盤價!A:C,3,0)</f>
        <v>38.950000000000003</v>
      </c>
      <c r="F778" s="93">
        <v>2281357142.8571429</v>
      </c>
      <c r="G778" s="93">
        <v>1028639000</v>
      </c>
      <c r="H778" s="117">
        <v>2.2200000000000002</v>
      </c>
      <c r="I778" s="117">
        <v>13.91</v>
      </c>
    </row>
    <row r="779" spans="1:9">
      <c r="A779" s="116">
        <v>3624</v>
      </c>
      <c r="B779" s="91">
        <v>0.3</v>
      </c>
      <c r="C779" s="92">
        <v>1</v>
      </c>
      <c r="D779" s="94">
        <v>116666666.66666667</v>
      </c>
      <c r="E779" s="91">
        <f>VLOOKUP(3624,收盤價!A:C,3,0)</f>
        <v>23.3</v>
      </c>
      <c r="F779" s="93">
        <v>2718333333.3333335</v>
      </c>
      <c r="G779" s="93">
        <v>1508610000</v>
      </c>
      <c r="H779" s="117">
        <v>1.8</v>
      </c>
      <c r="I779" s="117">
        <v>19.420000000000002</v>
      </c>
    </row>
    <row r="780" spans="1:9">
      <c r="A780" s="116">
        <v>3625</v>
      </c>
      <c r="B780" s="91">
        <v>-0.04</v>
      </c>
      <c r="C780" s="92">
        <v>1</v>
      </c>
      <c r="D780" s="94">
        <v>50000000</v>
      </c>
      <c r="E780" s="91">
        <f>VLOOKUP(3625,收盤價!A:C,3,0)</f>
        <v>11.3</v>
      </c>
      <c r="F780" s="93">
        <v>565000000</v>
      </c>
      <c r="G780" s="93">
        <v>691597000</v>
      </c>
      <c r="H780" s="117">
        <v>0.82</v>
      </c>
      <c r="I780" s="117">
        <v>0</v>
      </c>
    </row>
    <row r="781" spans="1:9">
      <c r="A781" s="116">
        <v>3628</v>
      </c>
      <c r="B781" s="91">
        <v>1.1299999999999999</v>
      </c>
      <c r="C781" s="92">
        <v>0.95192307692307687</v>
      </c>
      <c r="D781" s="94">
        <v>45132743.362831861</v>
      </c>
      <c r="E781" s="91">
        <f>VLOOKUP(3628,收盤價!A:C,3,0)</f>
        <v>51.2</v>
      </c>
      <c r="F781" s="93">
        <v>2310796460.1769915</v>
      </c>
      <c r="G781" s="93">
        <v>2866843000</v>
      </c>
      <c r="H781" s="117">
        <v>0.81</v>
      </c>
      <c r="I781" s="117">
        <v>11.9</v>
      </c>
    </row>
    <row r="782" spans="1:9">
      <c r="A782" s="116">
        <v>3629</v>
      </c>
      <c r="B782" s="91">
        <v>-1.33</v>
      </c>
      <c r="C782" s="92">
        <v>0.90196078431372551</v>
      </c>
      <c r="D782" s="94">
        <v>21052631.578947369</v>
      </c>
      <c r="E782" s="91">
        <f>VLOOKUP(3629,收盤價!A:C,3,0)</f>
        <v>9.1999999999999993</v>
      </c>
      <c r="F782" s="93">
        <v>193684210.52631578</v>
      </c>
      <c r="G782" s="93">
        <v>121492000</v>
      </c>
      <c r="H782" s="117">
        <v>1.59</v>
      </c>
      <c r="I782" s="117">
        <v>0</v>
      </c>
    </row>
    <row r="783" spans="1:9">
      <c r="A783" s="116">
        <v>3630</v>
      </c>
      <c r="B783" s="91">
        <v>-1.93</v>
      </c>
      <c r="C783" s="92">
        <v>1</v>
      </c>
      <c r="D783" s="94">
        <v>101036269.43005182</v>
      </c>
      <c r="E783" s="91">
        <f>VLOOKUP(3630,收盤價!A:C,3,0)</f>
        <v>18.899999999999999</v>
      </c>
      <c r="F783" s="93">
        <v>1909585492.2279792</v>
      </c>
      <c r="G783" s="93">
        <v>925160000</v>
      </c>
      <c r="H783" s="117">
        <v>2.06</v>
      </c>
      <c r="I783" s="117">
        <v>0</v>
      </c>
    </row>
    <row r="784" spans="1:9">
      <c r="A784" s="116">
        <v>3631</v>
      </c>
      <c r="B784" s="91">
        <v>-0.42</v>
      </c>
      <c r="C784" s="92">
        <v>0.83582089552238803</v>
      </c>
      <c r="D784" s="94">
        <v>80952380.952380955</v>
      </c>
      <c r="E784" s="91">
        <f>VLOOKUP(3631,收盤價!A:C,3,0)</f>
        <v>27.4</v>
      </c>
      <c r="F784" s="93">
        <v>2218095238.0952382</v>
      </c>
      <c r="G784" s="93">
        <v>739252000</v>
      </c>
      <c r="H784" s="117">
        <v>3</v>
      </c>
      <c r="I784" s="117">
        <v>0</v>
      </c>
    </row>
    <row r="785" spans="1:9">
      <c r="A785" s="116">
        <v>3632</v>
      </c>
      <c r="B785" s="91">
        <v>0.24</v>
      </c>
      <c r="C785" s="92">
        <v>1</v>
      </c>
      <c r="D785" s="94">
        <v>29166666.666666668</v>
      </c>
      <c r="E785" s="91">
        <f>VLOOKUP(3632,收盤價!A:C,3,0)</f>
        <v>27</v>
      </c>
      <c r="F785" s="93">
        <v>787500000</v>
      </c>
      <c r="G785" s="93">
        <v>1364895000</v>
      </c>
      <c r="H785" s="117">
        <v>0.57999999999999996</v>
      </c>
      <c r="I785" s="117">
        <v>28.12</v>
      </c>
    </row>
    <row r="786" spans="1:9">
      <c r="A786" s="116">
        <v>3642</v>
      </c>
      <c r="B786" s="91">
        <v>-0.3</v>
      </c>
      <c r="C786" s="92">
        <v>1</v>
      </c>
      <c r="D786" s="94">
        <v>33333333.333333336</v>
      </c>
      <c r="E786" s="91">
        <f>VLOOKUP(3642,收盤價!A:C,3,0)</f>
        <v>18</v>
      </c>
      <c r="F786" s="93">
        <v>600000000</v>
      </c>
      <c r="G786" s="93">
        <v>818562000</v>
      </c>
      <c r="H786" s="117">
        <v>0.73</v>
      </c>
      <c r="I786" s="117">
        <v>0</v>
      </c>
    </row>
    <row r="787" spans="1:9">
      <c r="A787" s="116">
        <v>3645</v>
      </c>
      <c r="B787" s="91">
        <v>0.28000000000000003</v>
      </c>
      <c r="C787" s="92">
        <v>1</v>
      </c>
      <c r="D787" s="94">
        <v>117857142.85714285</v>
      </c>
      <c r="E787" s="91">
        <f>VLOOKUP(3645,收盤價!A:C,3,0)</f>
        <v>32.200000000000003</v>
      </c>
      <c r="F787" s="93">
        <v>3795000000</v>
      </c>
      <c r="G787" s="93">
        <v>1547559000</v>
      </c>
      <c r="H787" s="117">
        <v>2.4500000000000002</v>
      </c>
      <c r="I787" s="117">
        <v>28.75</v>
      </c>
    </row>
    <row r="788" spans="1:9">
      <c r="A788" s="116">
        <v>3646</v>
      </c>
      <c r="B788" s="91">
        <v>-0.14000000000000001</v>
      </c>
      <c r="C788" s="92">
        <v>0.16666666666666666</v>
      </c>
      <c r="D788" s="94">
        <v>35714285.714285709</v>
      </c>
      <c r="E788" s="91">
        <f>VLOOKUP(3646,收盤價!A:C,3,0)</f>
        <v>12.6</v>
      </c>
      <c r="F788" s="93">
        <v>449999999.99999994</v>
      </c>
      <c r="G788" s="93">
        <v>571143000</v>
      </c>
      <c r="H788" s="117">
        <v>0.79</v>
      </c>
      <c r="I788" s="117">
        <v>0</v>
      </c>
    </row>
    <row r="789" spans="1:9">
      <c r="A789" s="116">
        <v>3652</v>
      </c>
      <c r="B789" s="91">
        <v>0.02</v>
      </c>
      <c r="C789" s="92">
        <v>0.625</v>
      </c>
      <c r="D789" s="94">
        <v>50000000</v>
      </c>
      <c r="E789" s="91">
        <f>VLOOKUP(3652,收盤價!A:C,3,0)</f>
        <v>18.05</v>
      </c>
      <c r="F789" s="93">
        <v>902500000</v>
      </c>
      <c r="G789" s="93">
        <v>1976481000</v>
      </c>
      <c r="H789" s="117">
        <v>0.46</v>
      </c>
      <c r="I789" s="117">
        <v>361</v>
      </c>
    </row>
    <row r="790" spans="1:9">
      <c r="A790" s="116">
        <v>3653</v>
      </c>
      <c r="B790" s="91">
        <v>0.55000000000000004</v>
      </c>
      <c r="C790" s="92">
        <v>1</v>
      </c>
      <c r="D790" s="94">
        <v>105454545.45454545</v>
      </c>
      <c r="E790" s="91">
        <f>VLOOKUP(3653,收盤價!A:C,3,0)</f>
        <v>47.4</v>
      </c>
      <c r="F790" s="93">
        <v>4998545454.545454</v>
      </c>
      <c r="G790" s="93">
        <v>3456508000</v>
      </c>
      <c r="H790" s="117">
        <v>1.45</v>
      </c>
      <c r="I790" s="117">
        <v>21.55</v>
      </c>
    </row>
    <row r="791" spans="1:9">
      <c r="A791" s="116">
        <v>3658</v>
      </c>
      <c r="B791" s="91">
        <v>9.69</v>
      </c>
      <c r="C791" s="92">
        <v>1</v>
      </c>
      <c r="D791" s="94">
        <v>71001031.991744071</v>
      </c>
      <c r="E791" s="91">
        <f>VLOOKUP(3658,收盤價!A:C,3,0)</f>
        <v>1240</v>
      </c>
      <c r="F791" s="93">
        <v>88041279669.76265</v>
      </c>
      <c r="G791" s="93">
        <v>7675729000</v>
      </c>
      <c r="H791" s="117">
        <v>11.47</v>
      </c>
      <c r="I791" s="117">
        <v>31.99</v>
      </c>
    </row>
    <row r="792" spans="1:9">
      <c r="A792" s="116">
        <v>3661</v>
      </c>
      <c r="B792" s="91">
        <v>0.25</v>
      </c>
      <c r="C792" s="92">
        <v>1</v>
      </c>
      <c r="D792" s="94">
        <v>64000000</v>
      </c>
      <c r="E792" s="91">
        <f>VLOOKUP(3661,收盤價!A:C,3,0)</f>
        <v>42.65</v>
      </c>
      <c r="F792" s="93">
        <v>2729600000</v>
      </c>
      <c r="G792" s="93">
        <v>4050378000</v>
      </c>
      <c r="H792" s="117">
        <v>0.67</v>
      </c>
      <c r="I792" s="117">
        <v>42.65</v>
      </c>
    </row>
    <row r="793" spans="1:9">
      <c r="A793" s="116">
        <v>3662</v>
      </c>
      <c r="B793" s="91">
        <v>1.33</v>
      </c>
      <c r="C793" s="92">
        <v>0.85326086956521741</v>
      </c>
      <c r="D793" s="94">
        <v>118796992.481203</v>
      </c>
      <c r="E793" s="91">
        <f>VLOOKUP(3662,收盤價!A:C,3,0)</f>
        <v>92.8</v>
      </c>
      <c r="F793" s="93">
        <v>11024360902.255638</v>
      </c>
      <c r="G793" s="93">
        <v>1824304000</v>
      </c>
      <c r="H793" s="117">
        <v>6.04</v>
      </c>
      <c r="I793" s="117">
        <v>20.440000000000001</v>
      </c>
    </row>
    <row r="794" spans="1:9">
      <c r="A794" s="116">
        <v>3663</v>
      </c>
      <c r="B794" s="91">
        <v>-0.26</v>
      </c>
      <c r="C794" s="92">
        <v>0.66666666666666663</v>
      </c>
      <c r="D794" s="94">
        <v>73076923.076923072</v>
      </c>
      <c r="E794" s="91">
        <f>VLOOKUP(3663,收盤價!A:C,3,0)</f>
        <v>18.350000000000001</v>
      </c>
      <c r="F794" s="93">
        <v>1340961538.4615386</v>
      </c>
      <c r="G794" s="93">
        <v>2815894000</v>
      </c>
      <c r="H794" s="117">
        <v>0.48</v>
      </c>
      <c r="I794" s="117">
        <v>0</v>
      </c>
    </row>
    <row r="795" spans="1:9">
      <c r="A795" s="116">
        <v>3664</v>
      </c>
      <c r="B795" s="91">
        <v>2.4700000000000002</v>
      </c>
      <c r="C795" s="92">
        <v>0.88888888888888884</v>
      </c>
      <c r="D795" s="94">
        <v>76923076.923076913</v>
      </c>
      <c r="E795" s="91">
        <f>VLOOKUP(3664,收盤價!A:C,3,0)</f>
        <v>17.2</v>
      </c>
      <c r="F795" s="93">
        <v>1323076923.0769229</v>
      </c>
      <c r="G795" s="93">
        <v>1101258000</v>
      </c>
      <c r="H795" s="117">
        <v>1.2</v>
      </c>
      <c r="I795" s="117">
        <v>1.96</v>
      </c>
    </row>
    <row r="796" spans="1:9">
      <c r="A796" s="116">
        <v>3665</v>
      </c>
      <c r="B796" s="91">
        <v>1.85</v>
      </c>
      <c r="C796" s="92">
        <v>0.83823529411764708</v>
      </c>
      <c r="D796" s="94">
        <v>91351351.351351351</v>
      </c>
      <c r="E796" s="91">
        <f>VLOOKUP(3665,收盤價!A:C,3,0)</f>
        <v>146.5</v>
      </c>
      <c r="F796" s="93">
        <v>13382972972.972973</v>
      </c>
      <c r="G796" s="93">
        <v>7893831000</v>
      </c>
      <c r="H796" s="117">
        <v>1.7</v>
      </c>
      <c r="I796" s="117">
        <v>23.62</v>
      </c>
    </row>
    <row r="797" spans="1:9">
      <c r="A797" s="116">
        <v>3666</v>
      </c>
      <c r="B797" s="91">
        <v>-0.4</v>
      </c>
      <c r="C797" s="92">
        <v>0.68421052631578949</v>
      </c>
      <c r="D797" s="94">
        <v>47500000</v>
      </c>
      <c r="E797" s="91">
        <f>VLOOKUP(3666,收盤價!A:C,3,0)</f>
        <v>18.55</v>
      </c>
      <c r="F797" s="93">
        <v>881125000</v>
      </c>
      <c r="G797" s="93">
        <v>1128040000</v>
      </c>
      <c r="H797" s="117">
        <v>0.78</v>
      </c>
      <c r="I797" s="117">
        <v>0</v>
      </c>
    </row>
    <row r="798" spans="1:9">
      <c r="A798" s="116">
        <v>3669</v>
      </c>
      <c r="B798" s="91">
        <v>0.01</v>
      </c>
      <c r="C798" s="92">
        <v>0.97297297297297303</v>
      </c>
      <c r="D798" s="94">
        <v>100000000</v>
      </c>
      <c r="E798" s="91">
        <f>VLOOKUP(3669,收盤價!A:C,3,0)</f>
        <v>14.85</v>
      </c>
      <c r="F798" s="93">
        <v>1485000000</v>
      </c>
      <c r="G798" s="93">
        <v>1669835000</v>
      </c>
      <c r="H798" s="117">
        <v>0.89</v>
      </c>
      <c r="I798" s="117">
        <v>381.56</v>
      </c>
    </row>
    <row r="799" spans="1:9">
      <c r="A799" s="116">
        <v>3672</v>
      </c>
      <c r="B799" s="91">
        <v>0.77</v>
      </c>
      <c r="C799" s="92">
        <v>1</v>
      </c>
      <c r="D799" s="94">
        <v>28571428.571428571</v>
      </c>
      <c r="E799" s="91">
        <f>VLOOKUP(3672,收盤價!A:C,3,0)</f>
        <v>40.65</v>
      </c>
      <c r="F799" s="93">
        <v>1161428571.4285715</v>
      </c>
      <c r="G799" s="93">
        <v>811755000</v>
      </c>
      <c r="H799" s="117">
        <v>1.43</v>
      </c>
      <c r="I799" s="117">
        <v>13.2</v>
      </c>
    </row>
    <row r="800" spans="1:9">
      <c r="A800" s="116">
        <v>2207</v>
      </c>
      <c r="B800" s="91">
        <v>4.62</v>
      </c>
      <c r="C800" s="92">
        <v>0.65815395840933966</v>
      </c>
      <c r="D800" s="94">
        <v>546536796.53679657</v>
      </c>
      <c r="E800" s="91">
        <f>VLOOKUP(2207,收盤價!A:C,3,0)</f>
        <v>399.5</v>
      </c>
      <c r="F800" s="93">
        <v>218341450216.45023</v>
      </c>
      <c r="G800" s="93">
        <v>163483262000</v>
      </c>
      <c r="H800" s="117">
        <v>1.34</v>
      </c>
      <c r="I800" s="117">
        <v>32.85</v>
      </c>
    </row>
    <row r="801" spans="1:9">
      <c r="A801" s="116">
        <v>3675</v>
      </c>
      <c r="B801" s="91">
        <v>0.52</v>
      </c>
      <c r="C801" s="92">
        <v>1</v>
      </c>
      <c r="D801" s="94">
        <v>44230769.230769232</v>
      </c>
      <c r="E801" s="91">
        <f>VLOOKUP(3675,收盤價!A:C,3,0)</f>
        <v>23.75</v>
      </c>
      <c r="F801" s="93">
        <v>1050480769.2307693</v>
      </c>
      <c r="G801" s="93">
        <v>1077318000</v>
      </c>
      <c r="H801" s="117">
        <v>0.98</v>
      </c>
      <c r="I801" s="117">
        <v>11.42</v>
      </c>
    </row>
    <row r="802" spans="1:9">
      <c r="A802" s="116">
        <v>3679</v>
      </c>
      <c r="B802" s="91">
        <v>0.61</v>
      </c>
      <c r="C802" s="92">
        <v>0.53703703703703709</v>
      </c>
      <c r="D802" s="94">
        <v>78688524.590163931</v>
      </c>
      <c r="E802" s="91">
        <f>VLOOKUP(3679,收盤價!A:C,3,0)</f>
        <v>41.65</v>
      </c>
      <c r="F802" s="93">
        <v>3277377049.1803274</v>
      </c>
      <c r="G802" s="93">
        <v>4341783000</v>
      </c>
      <c r="H802" s="117">
        <v>0.75</v>
      </c>
      <c r="I802" s="117">
        <v>31.78</v>
      </c>
    </row>
    <row r="803" spans="1:9">
      <c r="A803" s="116">
        <v>3680</v>
      </c>
      <c r="B803" s="91">
        <v>-0.24</v>
      </c>
      <c r="C803" s="92">
        <v>0.78947368421052633</v>
      </c>
      <c r="D803" s="94">
        <v>62500000</v>
      </c>
      <c r="E803" s="91">
        <f>VLOOKUP(3680,收盤價!A:C,3,0)</f>
        <v>33.549999999999997</v>
      </c>
      <c r="F803" s="93">
        <v>2096874999.9999998</v>
      </c>
      <c r="G803" s="93">
        <v>1859495000</v>
      </c>
      <c r="H803" s="117">
        <v>1.1299999999999999</v>
      </c>
      <c r="I803" s="117">
        <v>0</v>
      </c>
    </row>
    <row r="804" spans="1:9">
      <c r="A804" s="116">
        <v>3682</v>
      </c>
      <c r="B804" s="91">
        <v>-0.2</v>
      </c>
      <c r="C804" s="92">
        <v>1</v>
      </c>
      <c r="D804" s="94">
        <v>3965000000</v>
      </c>
      <c r="E804" s="91">
        <f>VLOOKUP(3682,收盤價!A:C,3,0)</f>
        <v>11.1</v>
      </c>
      <c r="F804" s="93">
        <v>44011500000</v>
      </c>
      <c r="G804" s="93">
        <v>15216813000</v>
      </c>
      <c r="H804" s="117">
        <v>2.89</v>
      </c>
      <c r="I804" s="117">
        <v>0</v>
      </c>
    </row>
    <row r="805" spans="1:9">
      <c r="A805" s="116">
        <v>3684</v>
      </c>
      <c r="B805" s="91">
        <v>1.1599999999999999</v>
      </c>
      <c r="C805" s="92">
        <v>1</v>
      </c>
      <c r="D805" s="94">
        <v>20689655.172413796</v>
      </c>
      <c r="E805" s="91">
        <f>VLOOKUP(3684,收盤價!A:C,3,0)</f>
        <v>59.6</v>
      </c>
      <c r="F805" s="93">
        <v>1233103448.2758622</v>
      </c>
      <c r="G805" s="93">
        <v>639542000</v>
      </c>
      <c r="H805" s="117">
        <v>1.93</v>
      </c>
      <c r="I805" s="117">
        <v>12.84</v>
      </c>
    </row>
    <row r="806" spans="1:9">
      <c r="A806" s="116">
        <v>3685</v>
      </c>
      <c r="B806" s="91">
        <v>0.22</v>
      </c>
      <c r="C806" s="92">
        <v>0.96875</v>
      </c>
      <c r="D806" s="94">
        <v>77272727.272727266</v>
      </c>
      <c r="E806" s="91">
        <f>VLOOKUP(3685,收盤價!A:C,3,0)</f>
        <v>49.35</v>
      </c>
      <c r="F806" s="93">
        <v>3813409090.9090905</v>
      </c>
      <c r="G806" s="93">
        <v>633469000</v>
      </c>
      <c r="H806" s="117">
        <v>6.02</v>
      </c>
      <c r="I806" s="117">
        <v>57.89</v>
      </c>
    </row>
    <row r="807" spans="1:9">
      <c r="A807" s="116">
        <v>2327</v>
      </c>
      <c r="B807" s="91">
        <v>1.07</v>
      </c>
      <c r="C807" s="92">
        <v>0.85757392878696437</v>
      </c>
      <c r="D807" s="94">
        <v>676635514.01869154</v>
      </c>
      <c r="E807" s="91">
        <f>VLOOKUP(2327,收盤價!A:C,3,0)</f>
        <v>52.8</v>
      </c>
      <c r="F807" s="93">
        <v>35726355140.186913</v>
      </c>
      <c r="G807" s="93">
        <v>27164813000</v>
      </c>
      <c r="H807" s="117">
        <v>1.32</v>
      </c>
      <c r="I807" s="117">
        <v>14.39</v>
      </c>
    </row>
    <row r="808" spans="1:9">
      <c r="A808" s="116">
        <v>3687</v>
      </c>
      <c r="B808" s="91">
        <v>-0.05</v>
      </c>
      <c r="C808" s="92">
        <v>1</v>
      </c>
      <c r="D808" s="94">
        <v>20000000</v>
      </c>
      <c r="E808" s="91">
        <f>VLOOKUP(3687,收盤價!A:C,3,0)</f>
        <v>77.8</v>
      </c>
      <c r="F808" s="93">
        <v>1556000000</v>
      </c>
      <c r="G808" s="93">
        <v>610698000</v>
      </c>
      <c r="H808" s="117">
        <v>2.5499999999999998</v>
      </c>
      <c r="I808" s="117">
        <v>0</v>
      </c>
    </row>
    <row r="809" spans="1:9">
      <c r="A809" s="116">
        <v>3689</v>
      </c>
      <c r="B809" s="91">
        <v>0.67</v>
      </c>
      <c r="C809" s="92">
        <v>0.47747747747747749</v>
      </c>
      <c r="D809" s="94">
        <v>70149253.731343284</v>
      </c>
      <c r="E809" s="91">
        <f>VLOOKUP(3689,收盤價!A:C,3,0)</f>
        <v>42.35</v>
      </c>
      <c r="F809" s="93">
        <v>2970820895.522388</v>
      </c>
      <c r="G809" s="93">
        <v>4573202000</v>
      </c>
      <c r="H809" s="117">
        <v>0.65</v>
      </c>
      <c r="I809" s="117">
        <v>33.1</v>
      </c>
    </row>
    <row r="810" spans="1:9">
      <c r="A810" s="116">
        <v>3691</v>
      </c>
      <c r="B810" s="91">
        <v>6.68</v>
      </c>
      <c r="C810" s="92">
        <v>1</v>
      </c>
      <c r="D810" s="94">
        <v>60928143.712574854</v>
      </c>
      <c r="E810" s="91">
        <f>VLOOKUP(3691,收盤價!A:C,3,0)</f>
        <v>628</v>
      </c>
      <c r="F810" s="93">
        <v>38262874251.497009</v>
      </c>
      <c r="G810" s="93">
        <v>13207717000</v>
      </c>
      <c r="H810" s="117">
        <v>2.9</v>
      </c>
      <c r="I810" s="117">
        <v>23.5</v>
      </c>
    </row>
    <row r="811" spans="1:9">
      <c r="A811" s="116">
        <v>3693</v>
      </c>
      <c r="B811" s="91">
        <v>1.34</v>
      </c>
      <c r="C811" s="92">
        <v>1</v>
      </c>
      <c r="D811" s="94">
        <v>38059701.492537312</v>
      </c>
      <c r="E811" s="91">
        <f>VLOOKUP(3693,收盤價!A:C,3,0)</f>
        <v>95.1</v>
      </c>
      <c r="F811" s="93">
        <v>3619477611.9402981</v>
      </c>
      <c r="G811" s="93">
        <v>5123617000</v>
      </c>
      <c r="H811" s="117">
        <v>0.71</v>
      </c>
      <c r="I811" s="117">
        <v>17.739999999999998</v>
      </c>
    </row>
    <row r="812" spans="1:9">
      <c r="A812" s="116">
        <v>3694</v>
      </c>
      <c r="B812" s="91">
        <v>-0.19</v>
      </c>
      <c r="C812" s="92">
        <v>0.91509433962264153</v>
      </c>
      <c r="D812" s="94">
        <v>131578947.36842105</v>
      </c>
      <c r="E812" s="91">
        <f>VLOOKUP(3694,收盤價!A:C,3,0)</f>
        <v>17.399999999999999</v>
      </c>
      <c r="F812" s="93">
        <v>2289473684.210526</v>
      </c>
      <c r="G812" s="93">
        <v>5616589000</v>
      </c>
      <c r="H812" s="117">
        <v>0.41</v>
      </c>
      <c r="I812" s="117">
        <v>0</v>
      </c>
    </row>
    <row r="813" spans="1:9">
      <c r="A813" s="116">
        <v>2338</v>
      </c>
      <c r="B813" s="91">
        <v>-0.32</v>
      </c>
      <c r="C813" s="92">
        <v>0.17808219178082191</v>
      </c>
      <c r="D813" s="94">
        <v>243750000</v>
      </c>
      <c r="E813" s="91">
        <f>VLOOKUP(2338,收盤價!A:C,3,0)</f>
        <v>8.1300000000000008</v>
      </c>
      <c r="F813" s="93">
        <v>1981687500.0000002</v>
      </c>
      <c r="G813" s="93">
        <v>1607557000</v>
      </c>
      <c r="H813" s="117">
        <v>1.23</v>
      </c>
      <c r="I813" s="117">
        <v>0</v>
      </c>
    </row>
    <row r="814" spans="1:9">
      <c r="A814" s="116">
        <v>3034</v>
      </c>
      <c r="B814" s="91">
        <v>2.44</v>
      </c>
      <c r="C814" s="92">
        <v>0.97864992150706431</v>
      </c>
      <c r="D814" s="94">
        <v>608606557.37704921</v>
      </c>
      <c r="E814" s="91">
        <f>VLOOKUP(3034,收盤價!A:C,3,0)</f>
        <v>115</v>
      </c>
      <c r="F814" s="93">
        <v>69989754098.360657</v>
      </c>
      <c r="G814" s="93">
        <v>54435313000</v>
      </c>
      <c r="H814" s="117">
        <v>1.29</v>
      </c>
      <c r="I814" s="117">
        <v>12.04</v>
      </c>
    </row>
    <row r="815" spans="1:9">
      <c r="A815" s="116">
        <v>3702</v>
      </c>
      <c r="B815" s="91">
        <v>0.7</v>
      </c>
      <c r="C815" s="92">
        <v>1</v>
      </c>
      <c r="D815" s="94">
        <v>1658571428.5714288</v>
      </c>
      <c r="E815" s="91">
        <f>VLOOKUP(3702,收盤價!A:C,3,0)</f>
        <v>34</v>
      </c>
      <c r="F815" s="93">
        <v>56391428571.428581</v>
      </c>
      <c r="G815" s="93">
        <v>481490559000</v>
      </c>
      <c r="H815" s="117">
        <v>0.12</v>
      </c>
      <c r="I815" s="117">
        <v>12.14</v>
      </c>
    </row>
    <row r="816" spans="1:9">
      <c r="A816" s="116">
        <v>3703</v>
      </c>
      <c r="B816" s="91">
        <v>-0.04</v>
      </c>
      <c r="C816" s="92">
        <v>1</v>
      </c>
      <c r="D816" s="94">
        <v>925000000</v>
      </c>
      <c r="E816" s="91">
        <f>VLOOKUP(3703,收盤價!A:C,3,0)</f>
        <v>11</v>
      </c>
      <c r="F816" s="93">
        <v>10175000000</v>
      </c>
      <c r="G816" s="93">
        <v>22468660000</v>
      </c>
      <c r="H816" s="117">
        <v>0.45</v>
      </c>
      <c r="I816" s="117">
        <v>0</v>
      </c>
    </row>
    <row r="817" spans="1:9">
      <c r="A817" s="116">
        <v>2373</v>
      </c>
      <c r="B817" s="91">
        <v>0.96</v>
      </c>
      <c r="C817" s="92">
        <v>0.31596638655462184</v>
      </c>
      <c r="D817" s="94">
        <v>311458333.33333337</v>
      </c>
      <c r="E817" s="91">
        <f>VLOOKUP(2373,收盤價!A:C,3,0)</f>
        <v>52</v>
      </c>
      <c r="F817" s="93">
        <v>16195833333.333336</v>
      </c>
      <c r="G817" s="93">
        <v>12511448000</v>
      </c>
      <c r="H817" s="117">
        <v>1.29</v>
      </c>
      <c r="I817" s="117">
        <v>42.86</v>
      </c>
    </row>
    <row r="818" spans="1:9">
      <c r="A818" s="116">
        <v>2538</v>
      </c>
      <c r="B818" s="91">
        <v>3</v>
      </c>
      <c r="C818" s="92">
        <v>1</v>
      </c>
      <c r="D818" s="94">
        <v>418333333.33333331</v>
      </c>
      <c r="E818" s="91">
        <f>VLOOKUP(2538,收盤價!A:C,3,0)</f>
        <v>16.45</v>
      </c>
      <c r="F818" s="93">
        <v>6881583333.333333</v>
      </c>
      <c r="G818" s="93">
        <v>5282880000</v>
      </c>
      <c r="H818" s="117">
        <v>1.3</v>
      </c>
      <c r="I818" s="117">
        <v>1.37</v>
      </c>
    </row>
    <row r="819" spans="1:9">
      <c r="A819" s="116">
        <v>2362</v>
      </c>
      <c r="B819" s="91">
        <v>0.42</v>
      </c>
      <c r="C819" s="92">
        <v>1</v>
      </c>
      <c r="D819" s="94">
        <v>650000000</v>
      </c>
      <c r="E819" s="91">
        <f>VLOOKUP(2362,收盤價!A:C,3,0)</f>
        <v>36.5</v>
      </c>
      <c r="F819" s="93">
        <v>23725000000</v>
      </c>
      <c r="G819" s="93">
        <v>18114852000</v>
      </c>
      <c r="H819" s="117">
        <v>1.31</v>
      </c>
      <c r="I819" s="117">
        <v>21.73</v>
      </c>
    </row>
    <row r="820" spans="1:9">
      <c r="A820" s="116">
        <v>3707</v>
      </c>
      <c r="B820" s="91">
        <v>-0.52</v>
      </c>
      <c r="C820" s="92">
        <v>0.9550561797752809</v>
      </c>
      <c r="D820" s="94">
        <v>161538461.53846154</v>
      </c>
      <c r="E820" s="91">
        <f>VLOOKUP(3707,收盤價!A:C,3,0)</f>
        <v>9.4</v>
      </c>
      <c r="F820" s="93">
        <v>1518461538.4615386</v>
      </c>
      <c r="G820" s="93">
        <v>2889386000</v>
      </c>
      <c r="H820" s="117">
        <v>0.53</v>
      </c>
      <c r="I820" s="117">
        <v>0</v>
      </c>
    </row>
    <row r="821" spans="1:9">
      <c r="A821" s="116">
        <v>4102</v>
      </c>
      <c r="B821" s="91">
        <v>-0.23</v>
      </c>
      <c r="C821" s="92">
        <v>0.93333333333333335</v>
      </c>
      <c r="D821" s="94">
        <v>43478260.869565219</v>
      </c>
      <c r="E821" s="91">
        <f>VLOOKUP(4102,收盤價!A:C,3,0)</f>
        <v>20.85</v>
      </c>
      <c r="F821" s="93">
        <v>906521739.13043487</v>
      </c>
      <c r="G821" s="93">
        <v>292214000</v>
      </c>
      <c r="H821" s="117">
        <v>3.1</v>
      </c>
      <c r="I821" s="117">
        <v>0</v>
      </c>
    </row>
    <row r="822" spans="1:9">
      <c r="A822" s="116">
        <v>4103</v>
      </c>
      <c r="B822" s="91">
        <v>0.68</v>
      </c>
      <c r="C822" s="92">
        <v>1</v>
      </c>
      <c r="D822" s="94">
        <v>110294117.64705881</v>
      </c>
      <c r="E822" s="91">
        <f>VLOOKUP(4103,收盤價!A:C,3,0)</f>
        <v>86</v>
      </c>
      <c r="F822" s="93">
        <v>9485294117.6470585</v>
      </c>
      <c r="G822" s="93">
        <v>6033026000</v>
      </c>
      <c r="H822" s="117">
        <v>1.57</v>
      </c>
      <c r="I822" s="117">
        <v>31.62</v>
      </c>
    </row>
    <row r="823" spans="1:9">
      <c r="A823" s="116">
        <v>4104</v>
      </c>
      <c r="B823" s="91">
        <v>0.89</v>
      </c>
      <c r="C823" s="92">
        <v>0.42780748663101603</v>
      </c>
      <c r="D823" s="94">
        <v>113483146.06741573</v>
      </c>
      <c r="E823" s="91">
        <f>VLOOKUP(4104,收盤價!A:C,3,0)</f>
        <v>49.6</v>
      </c>
      <c r="F823" s="93">
        <v>5628764044.94382</v>
      </c>
      <c r="G823" s="93">
        <v>6101654000</v>
      </c>
      <c r="H823" s="117">
        <v>0.92</v>
      </c>
      <c r="I823" s="117">
        <v>32.57</v>
      </c>
    </row>
    <row r="824" spans="1:9">
      <c r="A824" s="116">
        <v>1614</v>
      </c>
      <c r="B824" s="91">
        <v>0.42</v>
      </c>
      <c r="C824" s="92">
        <v>0.7350427350427351</v>
      </c>
      <c r="D824" s="94">
        <v>261904761.90476191</v>
      </c>
      <c r="E824" s="91">
        <f>VLOOKUP(1614,收盤價!A:C,3,0)</f>
        <v>26.75</v>
      </c>
      <c r="F824" s="93">
        <v>7005952380.9523811</v>
      </c>
      <c r="G824" s="93">
        <v>5189375000</v>
      </c>
      <c r="H824" s="117">
        <v>1.35</v>
      </c>
      <c r="I824" s="117">
        <v>21.66</v>
      </c>
    </row>
    <row r="825" spans="1:9">
      <c r="A825" s="116">
        <v>4106</v>
      </c>
      <c r="B825" s="91">
        <v>0.57999999999999996</v>
      </c>
      <c r="C825" s="92">
        <v>0.95283018867924529</v>
      </c>
      <c r="D825" s="94">
        <v>84482758.62068966</v>
      </c>
      <c r="E825" s="91">
        <f>VLOOKUP(4106,收盤價!A:C,3,0)</f>
        <v>42</v>
      </c>
      <c r="F825" s="93">
        <v>3548275862.0689659</v>
      </c>
      <c r="G825" s="93">
        <v>2092705000</v>
      </c>
      <c r="H825" s="117">
        <v>1.7</v>
      </c>
      <c r="I825" s="117">
        <v>19</v>
      </c>
    </row>
    <row r="826" spans="1:9">
      <c r="A826" s="116">
        <v>4107</v>
      </c>
      <c r="B826" s="91">
        <v>0.9</v>
      </c>
      <c r="C826" s="92">
        <v>1</v>
      </c>
      <c r="D826" s="94">
        <v>85555555.555555552</v>
      </c>
      <c r="E826" s="91">
        <f>VLOOKUP(4107,收盤價!A:C,3,0)</f>
        <v>121.5</v>
      </c>
      <c r="F826" s="93">
        <v>10395000000</v>
      </c>
      <c r="G826" s="93">
        <v>1220185000</v>
      </c>
      <c r="H826" s="117">
        <v>8.52</v>
      </c>
      <c r="I826" s="117">
        <v>33.75</v>
      </c>
    </row>
    <row r="827" spans="1:9">
      <c r="A827" s="116">
        <v>4108</v>
      </c>
      <c r="B827" s="91">
        <v>-0.36</v>
      </c>
      <c r="C827" s="92">
        <v>1</v>
      </c>
      <c r="D827" s="94">
        <v>163888888.8888889</v>
      </c>
      <c r="E827" s="91">
        <f>VLOOKUP(4108,收盤價!A:C,3,0)</f>
        <v>28.1</v>
      </c>
      <c r="F827" s="93">
        <v>4605277777.7777786</v>
      </c>
      <c r="G827" s="93">
        <v>30212000</v>
      </c>
      <c r="H827" s="117">
        <v>152.43</v>
      </c>
      <c r="I827" s="117">
        <v>0</v>
      </c>
    </row>
    <row r="828" spans="1:9">
      <c r="A828" s="116">
        <v>4109</v>
      </c>
      <c r="B828" s="91">
        <v>0.06</v>
      </c>
      <c r="C828" s="92">
        <v>1</v>
      </c>
      <c r="D828" s="94">
        <v>66666666.666666672</v>
      </c>
      <c r="E828" s="91">
        <f>VLOOKUP(4109,收盤價!A:C,3,0)</f>
        <v>25.1</v>
      </c>
      <c r="F828" s="93">
        <v>1673333333.3333335</v>
      </c>
      <c r="G828" s="93">
        <v>698984000</v>
      </c>
      <c r="H828" s="117">
        <v>2.39</v>
      </c>
      <c r="I828" s="117">
        <v>104.58</v>
      </c>
    </row>
    <row r="829" spans="1:9">
      <c r="A829" s="116">
        <v>4111</v>
      </c>
      <c r="B829" s="91">
        <v>0.23</v>
      </c>
      <c r="C829" s="92">
        <v>0.89473684210526316</v>
      </c>
      <c r="D829" s="94">
        <v>56521739.130434781</v>
      </c>
      <c r="E829" s="91">
        <f>VLOOKUP(4111,收盤價!A:C,3,0)</f>
        <v>22.65</v>
      </c>
      <c r="F829" s="93">
        <v>1280217391.3043478</v>
      </c>
      <c r="G829" s="93">
        <v>909778000</v>
      </c>
      <c r="H829" s="117">
        <v>1.41</v>
      </c>
      <c r="I829" s="117">
        <v>27.52</v>
      </c>
    </row>
    <row r="830" spans="1:9">
      <c r="A830" s="116">
        <v>4113</v>
      </c>
      <c r="B830" s="91">
        <v>0.16</v>
      </c>
      <c r="C830" s="92">
        <v>1</v>
      </c>
      <c r="D830" s="94">
        <v>150000000</v>
      </c>
      <c r="E830" s="91">
        <f>VLOOKUP(4113,收盤價!A:C,3,0)</f>
        <v>11.1</v>
      </c>
      <c r="F830" s="93">
        <v>1665000000</v>
      </c>
      <c r="G830" s="93">
        <v>883908000</v>
      </c>
      <c r="H830" s="117">
        <v>1.88</v>
      </c>
      <c r="I830" s="117">
        <v>17.34</v>
      </c>
    </row>
    <row r="831" spans="1:9">
      <c r="A831" s="116">
        <v>4114</v>
      </c>
      <c r="B831" s="91">
        <v>0.06</v>
      </c>
      <c r="C831" s="92">
        <v>1</v>
      </c>
      <c r="D831" s="94">
        <v>133333333.33333334</v>
      </c>
      <c r="E831" s="91">
        <f>VLOOKUP(4114,收盤價!A:C,3,0)</f>
        <v>33.9</v>
      </c>
      <c r="F831" s="93">
        <v>4520000000</v>
      </c>
      <c r="G831" s="93">
        <v>1687984000</v>
      </c>
      <c r="H831" s="117">
        <v>2.68</v>
      </c>
      <c r="I831" s="117">
        <v>141.25</v>
      </c>
    </row>
    <row r="832" spans="1:9">
      <c r="A832" s="116">
        <v>4119</v>
      </c>
      <c r="B832" s="91">
        <v>1.79</v>
      </c>
      <c r="C832" s="92">
        <v>1</v>
      </c>
      <c r="D832" s="94">
        <v>69832402.234636873</v>
      </c>
      <c r="E832" s="91">
        <f>VLOOKUP(4119,收盤價!A:C,3,0)</f>
        <v>78.8</v>
      </c>
      <c r="F832" s="93">
        <v>5502793296.089385</v>
      </c>
      <c r="G832" s="93">
        <v>1730222000</v>
      </c>
      <c r="H832" s="117">
        <v>3.18</v>
      </c>
      <c r="I832" s="117">
        <v>11.01</v>
      </c>
    </row>
    <row r="833" spans="1:9">
      <c r="A833" s="116">
        <v>4120</v>
      </c>
      <c r="B833" s="91">
        <v>0.3</v>
      </c>
      <c r="C833" s="92">
        <v>1</v>
      </c>
      <c r="D833" s="94">
        <v>86666666.666666672</v>
      </c>
      <c r="E833" s="91">
        <f>VLOOKUP(4120,收盤價!A:C,3,0)</f>
        <v>53.3</v>
      </c>
      <c r="F833" s="93">
        <v>4619333333.333333</v>
      </c>
      <c r="G833" s="93">
        <v>5010195000</v>
      </c>
      <c r="H833" s="117">
        <v>0.92</v>
      </c>
      <c r="I833" s="117">
        <v>44.42</v>
      </c>
    </row>
    <row r="834" spans="1:9">
      <c r="A834" s="116">
        <v>4121</v>
      </c>
      <c r="B834" s="91">
        <v>-0.08</v>
      </c>
      <c r="C834" s="92">
        <v>1</v>
      </c>
      <c r="D834" s="94">
        <v>75000000</v>
      </c>
      <c r="E834" s="91">
        <f>VLOOKUP(4121,收盤價!A:C,3,0)</f>
        <v>11.2</v>
      </c>
      <c r="F834" s="93">
        <v>840000000</v>
      </c>
      <c r="G834" s="93">
        <v>3461090000</v>
      </c>
      <c r="H834" s="117">
        <v>0.24</v>
      </c>
      <c r="I834" s="117">
        <v>0</v>
      </c>
    </row>
    <row r="835" spans="1:9">
      <c r="A835" s="116">
        <v>5264</v>
      </c>
      <c r="B835" s="91">
        <v>2.82</v>
      </c>
      <c r="C835" s="92">
        <v>0.68528464017185819</v>
      </c>
      <c r="D835" s="94">
        <v>340070921.98581564</v>
      </c>
      <c r="E835" s="91">
        <f>VLOOKUP(5264,收盤價!A:C,3,0)</f>
        <v>142.5</v>
      </c>
      <c r="F835" s="93">
        <v>48460106382.978729</v>
      </c>
      <c r="G835" s="93">
        <v>37339299000</v>
      </c>
      <c r="H835" s="117">
        <v>1.3</v>
      </c>
      <c r="I835" s="117">
        <v>18.43</v>
      </c>
    </row>
    <row r="836" spans="1:9">
      <c r="A836" s="116">
        <v>4126</v>
      </c>
      <c r="B836" s="91">
        <v>0.71</v>
      </c>
      <c r="C836" s="92">
        <v>1</v>
      </c>
      <c r="D836" s="94">
        <v>66197183.098591551</v>
      </c>
      <c r="E836" s="91">
        <f>VLOOKUP(4126,收盤價!A:C,3,0)</f>
        <v>65</v>
      </c>
      <c r="F836" s="93">
        <v>4302816901.4084511</v>
      </c>
      <c r="G836" s="93">
        <v>1521215000</v>
      </c>
      <c r="H836" s="117">
        <v>2.83</v>
      </c>
      <c r="I836" s="117">
        <v>22.89</v>
      </c>
    </row>
    <row r="837" spans="1:9">
      <c r="A837" s="116">
        <v>4127</v>
      </c>
      <c r="B837" s="91">
        <v>0.35</v>
      </c>
      <c r="C837" s="92">
        <v>1</v>
      </c>
      <c r="D837" s="94">
        <v>45714285.714285716</v>
      </c>
      <c r="E837" s="91">
        <f>VLOOKUP(4127,收盤價!A:C,3,0)</f>
        <v>24</v>
      </c>
      <c r="F837" s="93">
        <v>1097142857.1428571</v>
      </c>
      <c r="G837" s="93">
        <v>876720000</v>
      </c>
      <c r="H837" s="117">
        <v>1.25</v>
      </c>
      <c r="I837" s="117">
        <v>17.14</v>
      </c>
    </row>
    <row r="838" spans="1:9">
      <c r="A838" s="116">
        <v>6269</v>
      </c>
      <c r="B838" s="91">
        <v>1.5</v>
      </c>
      <c r="C838" s="92">
        <v>1</v>
      </c>
      <c r="D838" s="94">
        <v>239333333.33333334</v>
      </c>
      <c r="E838" s="91">
        <f>VLOOKUP(6269,收盤價!A:C,3,0)</f>
        <v>93.1</v>
      </c>
      <c r="F838" s="93">
        <v>22281933333.333332</v>
      </c>
      <c r="G838" s="93">
        <v>17297769000</v>
      </c>
      <c r="H838" s="117">
        <v>1.29</v>
      </c>
      <c r="I838" s="117">
        <v>15.52</v>
      </c>
    </row>
    <row r="839" spans="1:9">
      <c r="A839" s="116">
        <v>4129</v>
      </c>
      <c r="B839" s="91">
        <v>0.91</v>
      </c>
      <c r="C839" s="92">
        <v>1</v>
      </c>
      <c r="D839" s="94">
        <v>56043956.043956041</v>
      </c>
      <c r="E839" s="91">
        <f>VLOOKUP(4129,收盤價!A:C,3,0)</f>
        <v>62.5</v>
      </c>
      <c r="F839" s="93">
        <v>3502747252.7472525</v>
      </c>
      <c r="G839" s="93">
        <v>1325456000</v>
      </c>
      <c r="H839" s="117">
        <v>2.64</v>
      </c>
      <c r="I839" s="117">
        <v>17.170000000000002</v>
      </c>
    </row>
    <row r="840" spans="1:9">
      <c r="A840" s="116">
        <v>4130</v>
      </c>
      <c r="B840" s="91">
        <v>7.0000000000000007E-2</v>
      </c>
      <c r="C840" s="92">
        <v>1</v>
      </c>
      <c r="D840" s="94">
        <v>99999999.999999985</v>
      </c>
      <c r="E840" s="91">
        <f>VLOOKUP(4130,收盤價!A:C,3,0)</f>
        <v>42.2</v>
      </c>
      <c r="F840" s="93">
        <v>4219999999.9999995</v>
      </c>
      <c r="G840" s="93">
        <v>454563000</v>
      </c>
      <c r="H840" s="117">
        <v>9.2799999999999994</v>
      </c>
      <c r="I840" s="117">
        <v>150.71</v>
      </c>
    </row>
    <row r="841" spans="1:9">
      <c r="A841" s="116">
        <v>4131</v>
      </c>
      <c r="B841" s="91">
        <v>-0.19</v>
      </c>
      <c r="C841" s="92">
        <v>1</v>
      </c>
      <c r="D841" s="94">
        <v>36842105.263157897</v>
      </c>
      <c r="E841" s="91">
        <f>VLOOKUP(4131,收盤價!A:C,3,0)</f>
        <v>8.19</v>
      </c>
      <c r="F841" s="93">
        <v>301736842.10526317</v>
      </c>
      <c r="G841" s="93">
        <v>27386000</v>
      </c>
      <c r="H841" s="117">
        <v>11.02</v>
      </c>
      <c r="I841" s="117">
        <v>0</v>
      </c>
    </row>
    <row r="842" spans="1:9">
      <c r="A842" s="116">
        <v>4133</v>
      </c>
      <c r="B842" s="91">
        <v>0.43</v>
      </c>
      <c r="C842" s="92">
        <v>1</v>
      </c>
      <c r="D842" s="94">
        <v>58139534.883720934</v>
      </c>
      <c r="E842" s="91">
        <f>VLOOKUP(4133,收盤價!A:C,3,0)</f>
        <v>31</v>
      </c>
      <c r="F842" s="93">
        <v>1802325581.395349</v>
      </c>
      <c r="G842" s="93">
        <v>450474000</v>
      </c>
      <c r="H842" s="117">
        <v>4</v>
      </c>
      <c r="I842" s="117">
        <v>18.02</v>
      </c>
    </row>
    <row r="843" spans="1:9">
      <c r="A843" s="116">
        <v>4137</v>
      </c>
      <c r="B843" s="91">
        <v>2.98</v>
      </c>
      <c r="C843" s="92">
        <v>0.94174757281553401</v>
      </c>
      <c r="D843" s="94">
        <v>79530201.342281878</v>
      </c>
      <c r="E843" s="91">
        <f>VLOOKUP(4137,收盤價!A:C,3,0)</f>
        <v>258.5</v>
      </c>
      <c r="F843" s="93">
        <v>20558557046.979866</v>
      </c>
      <c r="G843" s="93">
        <v>3778179000</v>
      </c>
      <c r="H843" s="117">
        <v>5.44</v>
      </c>
      <c r="I843" s="117">
        <v>23.03</v>
      </c>
    </row>
    <row r="844" spans="1:9">
      <c r="A844" s="116">
        <v>4138</v>
      </c>
      <c r="B844" s="91">
        <v>1.2</v>
      </c>
      <c r="C844" s="92">
        <v>1</v>
      </c>
      <c r="D844" s="94">
        <v>30000000</v>
      </c>
      <c r="E844" s="91">
        <f>VLOOKUP(4138,收盤價!A:C,3,0)</f>
        <v>60.7</v>
      </c>
      <c r="F844" s="93">
        <v>1821000000</v>
      </c>
      <c r="G844" s="93">
        <v>1301056000</v>
      </c>
      <c r="H844" s="117">
        <v>1.4</v>
      </c>
      <c r="I844" s="117">
        <v>12.65</v>
      </c>
    </row>
    <row r="845" spans="1:9">
      <c r="A845" s="116">
        <v>4139</v>
      </c>
      <c r="B845" s="91">
        <v>-0.31</v>
      </c>
      <c r="C845" s="92">
        <v>1</v>
      </c>
      <c r="D845" s="94">
        <v>32258064.516129032</v>
      </c>
      <c r="E845" s="91">
        <f>VLOOKUP(4139,收盤價!A:C,3,0)</f>
        <v>75.5</v>
      </c>
      <c r="F845" s="93">
        <v>2435483870.967742</v>
      </c>
      <c r="G845" s="93">
        <v>845342000</v>
      </c>
      <c r="H845" s="117">
        <v>2.88</v>
      </c>
      <c r="I845" s="117">
        <v>0</v>
      </c>
    </row>
    <row r="846" spans="1:9">
      <c r="A846" s="116">
        <v>4141</v>
      </c>
      <c r="B846" s="91">
        <v>0.88</v>
      </c>
      <c r="C846" s="92">
        <v>0</v>
      </c>
      <c r="D846" s="94">
        <v>152272727.27272728</v>
      </c>
      <c r="E846" s="91">
        <f>VLOOKUP(4141,收盤價!A:C,3,0)</f>
        <v>34</v>
      </c>
      <c r="F846" s="93">
        <v>5177272727.272728</v>
      </c>
      <c r="G846" s="93">
        <v>11154884000</v>
      </c>
      <c r="H846" s="117">
        <v>0.46</v>
      </c>
      <c r="I846" s="117">
        <v>0</v>
      </c>
    </row>
    <row r="847" spans="1:9">
      <c r="A847" s="116">
        <v>1808</v>
      </c>
      <c r="B847" s="91">
        <v>-0.16</v>
      </c>
      <c r="C847" s="92">
        <v>1</v>
      </c>
      <c r="D847" s="94">
        <v>218750000</v>
      </c>
      <c r="E847" s="91">
        <f>VLOOKUP(1808,收盤價!A:C,3,0)</f>
        <v>28.25</v>
      </c>
      <c r="F847" s="93">
        <v>6179687500</v>
      </c>
      <c r="G847" s="93">
        <v>4848432000</v>
      </c>
      <c r="H847" s="117">
        <v>1.27</v>
      </c>
      <c r="I847" s="117">
        <v>0</v>
      </c>
    </row>
    <row r="848" spans="1:9">
      <c r="A848" s="116">
        <v>4144</v>
      </c>
      <c r="B848" s="91">
        <v>1.02</v>
      </c>
      <c r="C848" s="92">
        <v>0.48717948717948717</v>
      </c>
      <c r="D848" s="94">
        <v>78431372.549019605</v>
      </c>
      <c r="E848" s="91">
        <f>VLOOKUP(4144,收盤價!A:C,3,0)</f>
        <v>63</v>
      </c>
      <c r="F848" s="93">
        <v>4941176470.5882349</v>
      </c>
      <c r="G848" s="93">
        <v>2582057000</v>
      </c>
      <c r="H848" s="117">
        <v>1.91</v>
      </c>
      <c r="I848" s="117">
        <v>31.7</v>
      </c>
    </row>
    <row r="849" spans="1:9">
      <c r="A849" s="116">
        <v>4152</v>
      </c>
      <c r="B849" s="91">
        <v>-3.48</v>
      </c>
      <c r="C849" s="92">
        <v>1</v>
      </c>
      <c r="D849" s="94">
        <v>55172413.793103449</v>
      </c>
      <c r="E849" s="91">
        <f>VLOOKUP(4152,收盤價!A:C,3,0)</f>
        <v>138.5</v>
      </c>
      <c r="F849" s="93">
        <v>7641379310.3448277</v>
      </c>
      <c r="G849" s="93">
        <v>59341000</v>
      </c>
      <c r="H849" s="117">
        <v>128.77000000000001</v>
      </c>
      <c r="I849" s="117">
        <v>0</v>
      </c>
    </row>
    <row r="850" spans="1:9">
      <c r="A850" s="116">
        <v>4153</v>
      </c>
      <c r="B850" s="91">
        <v>1.19</v>
      </c>
      <c r="C850" s="92">
        <v>1</v>
      </c>
      <c r="D850" s="94">
        <v>31092436.974789917</v>
      </c>
      <c r="E850" s="91">
        <f>VLOOKUP(4153,收盤價!A:C,3,0)</f>
        <v>85.5</v>
      </c>
      <c r="F850" s="93">
        <v>2658403361.3445377</v>
      </c>
      <c r="G850" s="93">
        <v>1250543000</v>
      </c>
      <c r="H850" s="117">
        <v>2.13</v>
      </c>
      <c r="I850" s="117">
        <v>17.96</v>
      </c>
    </row>
    <row r="851" spans="1:9">
      <c r="A851" s="116">
        <v>4154</v>
      </c>
      <c r="B851" s="91">
        <v>-0.1</v>
      </c>
      <c r="C851" s="92">
        <v>1</v>
      </c>
      <c r="D851" s="94">
        <v>20000000</v>
      </c>
      <c r="E851" s="91">
        <f>VLOOKUP(4154,收盤價!A:C,3,0)</f>
        <v>25</v>
      </c>
      <c r="F851" s="93">
        <v>500000000</v>
      </c>
      <c r="G851" s="93">
        <v>486658000</v>
      </c>
      <c r="H851" s="117">
        <v>1.03</v>
      </c>
      <c r="I851" s="117">
        <v>0</v>
      </c>
    </row>
    <row r="852" spans="1:9">
      <c r="A852" s="116">
        <v>3189</v>
      </c>
      <c r="B852" s="91">
        <v>1.35</v>
      </c>
      <c r="C852" s="92">
        <v>0.89655172413793105</v>
      </c>
      <c r="D852" s="94">
        <v>445185185.18518513</v>
      </c>
      <c r="E852" s="91">
        <f>VLOOKUP(3189,收盤價!A:C,3,0)</f>
        <v>70.900000000000006</v>
      </c>
      <c r="F852" s="93">
        <v>31563629629.629627</v>
      </c>
      <c r="G852" s="93">
        <v>22301775000</v>
      </c>
      <c r="H852" s="117">
        <v>1.42</v>
      </c>
      <c r="I852" s="117">
        <v>14.64</v>
      </c>
    </row>
    <row r="853" spans="1:9">
      <c r="A853" s="116">
        <v>4161</v>
      </c>
      <c r="B853" s="91">
        <v>0.1</v>
      </c>
      <c r="C853" s="92">
        <v>1</v>
      </c>
      <c r="D853" s="94">
        <v>50000000</v>
      </c>
      <c r="E853" s="91">
        <f>VLOOKUP(4161,收盤價!A:C,3,0)</f>
        <v>66.599999999999994</v>
      </c>
      <c r="F853" s="93">
        <v>3329999999.9999995</v>
      </c>
      <c r="G853" s="93">
        <v>465317000</v>
      </c>
      <c r="H853" s="117">
        <v>7.16</v>
      </c>
      <c r="I853" s="117">
        <v>166.5</v>
      </c>
    </row>
    <row r="854" spans="1:9">
      <c r="A854" s="116">
        <v>4162</v>
      </c>
      <c r="B854" s="91">
        <v>4.1500000000000004</v>
      </c>
      <c r="C854" s="92">
        <v>1</v>
      </c>
      <c r="D854" s="94">
        <v>101927710.84337349</v>
      </c>
      <c r="E854" s="91">
        <f>VLOOKUP(4162,收盤價!A:C,3,0)</f>
        <v>218.5</v>
      </c>
      <c r="F854" s="93">
        <v>22271204819.277107</v>
      </c>
      <c r="G854" s="93">
        <v>722954000</v>
      </c>
      <c r="H854" s="117">
        <v>30.81</v>
      </c>
      <c r="I854" s="117">
        <v>13.16</v>
      </c>
    </row>
    <row r="855" spans="1:9">
      <c r="A855" s="116">
        <v>4163</v>
      </c>
      <c r="B855" s="91">
        <v>0.93</v>
      </c>
      <c r="C855" s="92">
        <v>1</v>
      </c>
      <c r="D855" s="94">
        <v>40860215.053763442</v>
      </c>
      <c r="E855" s="91">
        <f>VLOOKUP(4163,收盤價!A:C,3,0)</f>
        <v>102.5</v>
      </c>
      <c r="F855" s="93">
        <v>4188172043.0107527</v>
      </c>
      <c r="G855" s="93">
        <v>1886357000</v>
      </c>
      <c r="H855" s="117">
        <v>2.2200000000000002</v>
      </c>
      <c r="I855" s="117">
        <v>27.55</v>
      </c>
    </row>
    <row r="856" spans="1:9">
      <c r="A856" s="116">
        <v>4164</v>
      </c>
      <c r="B856" s="91">
        <v>0.78</v>
      </c>
      <c r="C856" s="92">
        <v>1</v>
      </c>
      <c r="D856" s="94">
        <v>129487179.48717949</v>
      </c>
      <c r="E856" s="91">
        <f>VLOOKUP(4164,收盤價!A:C,3,0)</f>
        <v>58.4</v>
      </c>
      <c r="F856" s="93">
        <v>7562051282.0512819</v>
      </c>
      <c r="G856" s="93">
        <v>2181671000</v>
      </c>
      <c r="H856" s="117">
        <v>3.47</v>
      </c>
      <c r="I856" s="117">
        <v>18.72</v>
      </c>
    </row>
    <row r="857" spans="1:9">
      <c r="A857" s="116">
        <v>4167</v>
      </c>
      <c r="B857" s="91">
        <v>-0.55000000000000004</v>
      </c>
      <c r="C857" s="92">
        <v>0.92129629629629628</v>
      </c>
      <c r="D857" s="94">
        <v>178181818.18181816</v>
      </c>
      <c r="E857" s="91">
        <f>VLOOKUP(4167,收盤價!A:C,3,0)</f>
        <v>34.75</v>
      </c>
      <c r="F857" s="93">
        <v>6191818181.818181</v>
      </c>
      <c r="G857" s="93">
        <v>1156454000</v>
      </c>
      <c r="H857" s="117">
        <v>5.35</v>
      </c>
      <c r="I857" s="117">
        <v>0</v>
      </c>
    </row>
    <row r="858" spans="1:9">
      <c r="A858" s="116">
        <v>4168</v>
      </c>
      <c r="B858" s="91">
        <v>-0.21</v>
      </c>
      <c r="C858" s="92">
        <v>1</v>
      </c>
      <c r="D858" s="94">
        <v>76190476.190476194</v>
      </c>
      <c r="E858" s="91">
        <f>VLOOKUP(4168,收盤價!A:C,3,0)</f>
        <v>52</v>
      </c>
      <c r="F858" s="93">
        <v>3961904761.9047623</v>
      </c>
      <c r="G858" s="93">
        <v>13639000</v>
      </c>
      <c r="H858" s="117">
        <v>290.48</v>
      </c>
      <c r="I858" s="117">
        <v>0</v>
      </c>
    </row>
    <row r="859" spans="1:9">
      <c r="A859" s="116">
        <v>4171</v>
      </c>
      <c r="B859" s="91">
        <v>-0.2</v>
      </c>
      <c r="C859" s="92">
        <v>0.7142857142857143</v>
      </c>
      <c r="D859" s="94">
        <v>35000000</v>
      </c>
      <c r="E859" s="91">
        <f>VLOOKUP(4171,收盤價!A:C,3,0)</f>
        <v>42.5</v>
      </c>
      <c r="F859" s="93">
        <v>1487500000</v>
      </c>
      <c r="G859" s="93">
        <v>139828000</v>
      </c>
      <c r="H859" s="117">
        <v>10.64</v>
      </c>
      <c r="I859" s="117">
        <v>0</v>
      </c>
    </row>
    <row r="860" spans="1:9">
      <c r="A860" s="116">
        <v>4173</v>
      </c>
      <c r="B860" s="91">
        <v>0.23</v>
      </c>
      <c r="C860" s="92">
        <v>1</v>
      </c>
      <c r="D860" s="94">
        <v>43478260.869565219</v>
      </c>
      <c r="E860" s="91">
        <f>VLOOKUP(4173,收盤價!A:C,3,0)</f>
        <v>27.8</v>
      </c>
      <c r="F860" s="93">
        <v>1208695652.173913</v>
      </c>
      <c r="G860" s="93">
        <v>1356235000</v>
      </c>
      <c r="H860" s="117">
        <v>0.89</v>
      </c>
      <c r="I860" s="117">
        <v>30.22</v>
      </c>
    </row>
    <row r="861" spans="1:9">
      <c r="A861" s="116">
        <v>4174</v>
      </c>
      <c r="B861" s="91">
        <v>-1.02</v>
      </c>
      <c r="C861" s="92">
        <v>1</v>
      </c>
      <c r="D861" s="94">
        <v>169607843.13725489</v>
      </c>
      <c r="E861" s="91">
        <f>VLOOKUP(4174,收盤價!A:C,3,0)</f>
        <v>406.5</v>
      </c>
      <c r="F861" s="93">
        <v>68945588235.294113</v>
      </c>
      <c r="G861" s="93">
        <v>0</v>
      </c>
    </row>
    <row r="862" spans="1:9">
      <c r="A862" s="116">
        <v>4175</v>
      </c>
      <c r="B862" s="91">
        <v>1.1000000000000001</v>
      </c>
      <c r="C862" s="92">
        <v>0.90322580645161288</v>
      </c>
      <c r="D862" s="94">
        <v>25454545.454545453</v>
      </c>
      <c r="E862" s="91">
        <f>VLOOKUP(4175,收盤價!A:C,3,0)</f>
        <v>73</v>
      </c>
      <c r="F862" s="93">
        <v>1858181818.181818</v>
      </c>
      <c r="G862" s="93">
        <v>3775061000</v>
      </c>
      <c r="H862" s="117">
        <v>0.49</v>
      </c>
      <c r="I862" s="117">
        <v>18.37</v>
      </c>
    </row>
    <row r="863" spans="1:9">
      <c r="A863" s="116">
        <v>4180</v>
      </c>
      <c r="B863" s="91">
        <v>0.69</v>
      </c>
      <c r="C863" s="92">
        <v>1</v>
      </c>
      <c r="D863" s="94">
        <v>111594202.89855073</v>
      </c>
      <c r="E863" s="91">
        <f>VLOOKUP(4180,收盤價!A:C,3,0)</f>
        <v>177</v>
      </c>
      <c r="F863" s="93">
        <v>19752173913.04348</v>
      </c>
      <c r="G863" s="93">
        <v>335964000</v>
      </c>
      <c r="H863" s="117">
        <v>58.79</v>
      </c>
      <c r="I863" s="117">
        <v>64.13</v>
      </c>
    </row>
    <row r="864" spans="1:9">
      <c r="A864" s="116">
        <v>4188</v>
      </c>
      <c r="B864" s="91">
        <v>-0.32</v>
      </c>
      <c r="C864" s="92">
        <v>1</v>
      </c>
      <c r="D864" s="94">
        <v>37500000</v>
      </c>
      <c r="E864" s="91">
        <f>VLOOKUP(4188,收盤價!A:C,3,0)</f>
        <v>29</v>
      </c>
      <c r="F864" s="93">
        <v>1087500000</v>
      </c>
      <c r="G864" s="93">
        <v>0</v>
      </c>
    </row>
    <row r="865" spans="1:9">
      <c r="A865" s="116">
        <v>4192</v>
      </c>
      <c r="B865" s="91">
        <v>-0.7</v>
      </c>
      <c r="C865" s="92">
        <v>0.967741935483871</v>
      </c>
      <c r="D865" s="94">
        <v>58571428.571428575</v>
      </c>
      <c r="E865" s="91">
        <f>VLOOKUP(4192,收盤價!A:C,3,0)</f>
        <v>48</v>
      </c>
      <c r="F865" s="93">
        <v>2811428571.4285717</v>
      </c>
      <c r="G865" s="93">
        <v>14910000</v>
      </c>
      <c r="H865" s="117">
        <v>188.56</v>
      </c>
      <c r="I865" s="117">
        <v>0</v>
      </c>
    </row>
    <row r="866" spans="1:9">
      <c r="A866" s="116">
        <v>4198</v>
      </c>
      <c r="B866" s="91">
        <v>-0.89</v>
      </c>
      <c r="C866" s="92">
        <v>0.97204968944099379</v>
      </c>
      <c r="D866" s="94">
        <v>147191011.23595506</v>
      </c>
      <c r="E866" s="91">
        <f>VLOOKUP(4198,收盤價!A:C,3,0)</f>
        <v>39</v>
      </c>
      <c r="F866" s="93">
        <v>5740449438.2022476</v>
      </c>
      <c r="G866" s="93">
        <v>652747000</v>
      </c>
      <c r="H866" s="117">
        <v>8.7899999999999991</v>
      </c>
      <c r="I866" s="117">
        <v>0</v>
      </c>
    </row>
    <row r="867" spans="1:9">
      <c r="A867" s="116">
        <v>4205</v>
      </c>
      <c r="B867" s="91">
        <v>0.6</v>
      </c>
      <c r="C867" s="92">
        <v>0.97435897435897434</v>
      </c>
      <c r="D867" s="94">
        <v>71666666.666666672</v>
      </c>
      <c r="E867" s="91">
        <f>VLOOKUP(4205,收盤價!A:C,3,0)</f>
        <v>37</v>
      </c>
      <c r="F867" s="93">
        <v>2651666666.666667</v>
      </c>
      <c r="G867" s="93">
        <v>1275153000</v>
      </c>
      <c r="H867" s="117">
        <v>2.08</v>
      </c>
      <c r="I867" s="117">
        <v>15.82</v>
      </c>
    </row>
    <row r="868" spans="1:9">
      <c r="A868" s="116">
        <v>4207</v>
      </c>
      <c r="B868" s="91">
        <v>0.06</v>
      </c>
      <c r="C868" s="92">
        <v>1</v>
      </c>
      <c r="D868" s="94">
        <v>166666666.66666669</v>
      </c>
      <c r="E868" s="91">
        <f>VLOOKUP(4207,收盤價!A:C,3,0)</f>
        <v>10.050000000000001</v>
      </c>
      <c r="F868" s="93">
        <v>1675000000.0000002</v>
      </c>
      <c r="G868" s="93">
        <v>3286180000</v>
      </c>
      <c r="H868" s="117">
        <v>0.51</v>
      </c>
      <c r="I868" s="117">
        <v>41.88</v>
      </c>
    </row>
    <row r="869" spans="1:9">
      <c r="A869" s="116">
        <v>4303</v>
      </c>
      <c r="B869" s="91">
        <v>0.27</v>
      </c>
      <c r="C869" s="92">
        <v>1</v>
      </c>
      <c r="D869" s="94">
        <v>70370370.370370373</v>
      </c>
      <c r="E869" s="91">
        <f>VLOOKUP(4303,收盤價!A:C,3,0)</f>
        <v>0</v>
      </c>
      <c r="F869" s="93">
        <v>0</v>
      </c>
      <c r="G869" s="93">
        <v>652220000</v>
      </c>
      <c r="H869" s="117">
        <v>0</v>
      </c>
      <c r="I869" s="117">
        <v>0</v>
      </c>
    </row>
    <row r="870" spans="1:9">
      <c r="A870" s="116">
        <v>4304</v>
      </c>
      <c r="B870" s="91">
        <v>-0.28999999999999998</v>
      </c>
      <c r="C870" s="92">
        <v>1</v>
      </c>
      <c r="D870" s="94">
        <v>51724137.931034483</v>
      </c>
      <c r="E870" s="91">
        <f>VLOOKUP(4304,收盤價!A:C,3,0)</f>
        <v>0</v>
      </c>
      <c r="F870" s="93">
        <v>0</v>
      </c>
      <c r="G870" s="93">
        <v>429295000</v>
      </c>
      <c r="H870" s="117">
        <v>0</v>
      </c>
      <c r="I870" s="117">
        <v>0</v>
      </c>
    </row>
    <row r="871" spans="1:9">
      <c r="A871" s="116">
        <v>4305</v>
      </c>
      <c r="B871" s="91">
        <v>0.77</v>
      </c>
      <c r="C871" s="92">
        <v>0.98550724637681164</v>
      </c>
      <c r="D871" s="94">
        <v>55844155.844155841</v>
      </c>
      <c r="E871" s="91">
        <f>VLOOKUP(4305,收盤價!A:C,3,0)</f>
        <v>25.45</v>
      </c>
      <c r="F871" s="93">
        <v>1421233766.2337661</v>
      </c>
      <c r="G871" s="93">
        <v>1287929000</v>
      </c>
      <c r="H871" s="117">
        <v>1.1000000000000001</v>
      </c>
      <c r="I871" s="117">
        <v>8.3800000000000008</v>
      </c>
    </row>
    <row r="872" spans="1:9">
      <c r="A872" s="116">
        <v>9946</v>
      </c>
      <c r="B872" s="91">
        <v>0.17</v>
      </c>
      <c r="C872" s="92">
        <v>0.98360655737704916</v>
      </c>
      <c r="D872" s="94">
        <v>229411764.70588234</v>
      </c>
      <c r="E872" s="91">
        <f>VLOOKUP(9946,收盤價!A:C,3,0)</f>
        <v>16.649999999999999</v>
      </c>
      <c r="F872" s="93">
        <v>3819705882.3529406</v>
      </c>
      <c r="G872" s="93">
        <v>2669274000</v>
      </c>
      <c r="H872" s="117">
        <v>1.43</v>
      </c>
      <c r="I872" s="117">
        <v>24.89</v>
      </c>
    </row>
    <row r="873" spans="1:9">
      <c r="A873" s="116">
        <v>4401</v>
      </c>
      <c r="B873" s="91">
        <v>1.46</v>
      </c>
      <c r="C873" s="92">
        <v>1</v>
      </c>
      <c r="D873" s="94">
        <v>120547945.20547946</v>
      </c>
      <c r="E873" s="91">
        <f>VLOOKUP(4401,收盤價!A:C,3,0)</f>
        <v>104</v>
      </c>
      <c r="F873" s="93">
        <v>12536986301.369864</v>
      </c>
      <c r="G873" s="93">
        <v>4524506000</v>
      </c>
      <c r="H873" s="117">
        <v>2.77</v>
      </c>
      <c r="I873" s="117">
        <v>17.809999999999999</v>
      </c>
    </row>
    <row r="874" spans="1:9">
      <c r="A874" s="116">
        <v>4402</v>
      </c>
      <c r="B874" s="91">
        <v>-1.06</v>
      </c>
      <c r="C874" s="92">
        <v>0.89772727272727271</v>
      </c>
      <c r="D874" s="94">
        <v>46226415.094339617</v>
      </c>
      <c r="E874" s="91">
        <f>VLOOKUP(4402,收盤價!A:C,3,0)</f>
        <v>4.67</v>
      </c>
      <c r="F874" s="93">
        <v>215877358.49056602</v>
      </c>
      <c r="G874" s="93">
        <v>1157987000</v>
      </c>
      <c r="H874" s="117">
        <v>0.19</v>
      </c>
      <c r="I874" s="117">
        <v>0</v>
      </c>
    </row>
    <row r="875" spans="1:9">
      <c r="A875" s="116">
        <v>4413</v>
      </c>
      <c r="B875" s="91">
        <v>0</v>
      </c>
      <c r="C875" s="92">
        <v>0</v>
      </c>
      <c r="D875" s="94">
        <v>0</v>
      </c>
      <c r="E875" s="91">
        <f>VLOOKUP(4413,收盤價!A:C,3,0)</f>
        <v>20</v>
      </c>
      <c r="F875" s="93">
        <v>0</v>
      </c>
      <c r="G875" s="93">
        <v>153155000</v>
      </c>
      <c r="H875" s="117">
        <v>0</v>
      </c>
      <c r="I875" s="117">
        <v>0</v>
      </c>
    </row>
    <row r="876" spans="1:9">
      <c r="A876" s="116">
        <v>4414</v>
      </c>
      <c r="B876" s="91">
        <v>-0.42</v>
      </c>
      <c r="C876" s="92">
        <v>0.60909090909090913</v>
      </c>
      <c r="D876" s="94">
        <v>133333333.33333334</v>
      </c>
      <c r="E876" s="91">
        <f>VLOOKUP(4414,收盤價!A:C,3,0)</f>
        <v>19</v>
      </c>
      <c r="F876" s="93">
        <v>2533333333.3333335</v>
      </c>
      <c r="G876" s="93">
        <v>2433979000</v>
      </c>
      <c r="H876" s="117">
        <v>1.04</v>
      </c>
      <c r="I876" s="117">
        <v>0</v>
      </c>
    </row>
    <row r="877" spans="1:9">
      <c r="A877" s="116">
        <v>4415</v>
      </c>
      <c r="B877" s="91">
        <v>-0.1</v>
      </c>
      <c r="C877" s="92">
        <v>1</v>
      </c>
      <c r="D877" s="94">
        <v>70000000</v>
      </c>
      <c r="E877" s="91">
        <f>VLOOKUP(4415,收盤價!A:C,3,0)</f>
        <v>20</v>
      </c>
      <c r="F877" s="93">
        <v>1400000000</v>
      </c>
      <c r="G877" s="93">
        <v>27260000</v>
      </c>
      <c r="H877" s="117">
        <v>51.36</v>
      </c>
      <c r="I877" s="117">
        <v>0</v>
      </c>
    </row>
    <row r="878" spans="1:9">
      <c r="A878" s="116">
        <v>4416</v>
      </c>
      <c r="B878" s="91">
        <v>15.42</v>
      </c>
      <c r="C878" s="92">
        <v>1</v>
      </c>
      <c r="D878" s="94">
        <v>55836575.875486381</v>
      </c>
      <c r="E878" s="91">
        <f>VLOOKUP(4416,收盤價!A:C,3,0)</f>
        <v>0</v>
      </c>
      <c r="F878" s="93">
        <v>0</v>
      </c>
      <c r="G878" s="93">
        <v>2076077000</v>
      </c>
      <c r="H878" s="117">
        <v>0</v>
      </c>
      <c r="I878" s="117">
        <v>0</v>
      </c>
    </row>
    <row r="879" spans="1:9">
      <c r="A879" s="116">
        <v>4417</v>
      </c>
      <c r="B879" s="91">
        <v>0.81</v>
      </c>
      <c r="C879" s="92">
        <v>0.87116564417177911</v>
      </c>
      <c r="D879" s="94">
        <v>80246913.58024691</v>
      </c>
      <c r="E879" s="91">
        <f>VLOOKUP(4417,收盤價!A:C,3,0)</f>
        <v>41.85</v>
      </c>
      <c r="F879" s="93">
        <v>3358333333.3333335</v>
      </c>
      <c r="G879" s="93">
        <v>3207421000</v>
      </c>
      <c r="H879" s="117">
        <v>1.05</v>
      </c>
      <c r="I879" s="117">
        <v>14.83</v>
      </c>
    </row>
    <row r="880" spans="1:9">
      <c r="A880" s="116">
        <v>4419</v>
      </c>
      <c r="B880" s="91">
        <v>-0.39</v>
      </c>
      <c r="C880" s="92">
        <v>0.9</v>
      </c>
      <c r="D880" s="94">
        <v>23076923.076923076</v>
      </c>
      <c r="E880" s="91">
        <f>VLOOKUP(4419,收盤價!A:C,3,0)</f>
        <v>7.63</v>
      </c>
      <c r="F880" s="93">
        <v>176076923.07692307</v>
      </c>
      <c r="G880" s="93">
        <v>88629000</v>
      </c>
      <c r="H880" s="117">
        <v>1.99</v>
      </c>
      <c r="I880" s="117">
        <v>0</v>
      </c>
    </row>
    <row r="881" spans="1:9">
      <c r="A881" s="116">
        <v>4420</v>
      </c>
      <c r="B881" s="91">
        <v>2.56</v>
      </c>
      <c r="C881" s="92">
        <v>0.14814814814814814</v>
      </c>
      <c r="D881" s="94">
        <v>29296875</v>
      </c>
      <c r="E881" s="91">
        <f>VLOOKUP(4420,收盤價!A:C,3,0)</f>
        <v>64</v>
      </c>
      <c r="F881" s="93">
        <v>1875000000</v>
      </c>
      <c r="G881" s="93">
        <v>421936000</v>
      </c>
      <c r="H881" s="117">
        <v>4.4400000000000004</v>
      </c>
      <c r="I881" s="117">
        <v>42.19</v>
      </c>
    </row>
    <row r="882" spans="1:9">
      <c r="A882" s="116">
        <v>4426</v>
      </c>
      <c r="B882" s="91">
        <v>1.85</v>
      </c>
      <c r="C882" s="92">
        <v>1</v>
      </c>
      <c r="D882" s="94">
        <v>76756756.756756753</v>
      </c>
      <c r="E882" s="91">
        <f>VLOOKUP(4426,收盤價!A:C,3,0)</f>
        <v>186</v>
      </c>
      <c r="F882" s="93">
        <v>14276756756.756756</v>
      </c>
      <c r="G882" s="93">
        <v>1874971000</v>
      </c>
      <c r="H882" s="117">
        <v>7.61</v>
      </c>
      <c r="I882" s="117">
        <v>25.14</v>
      </c>
    </row>
    <row r="883" spans="1:9">
      <c r="A883" s="116">
        <v>4429</v>
      </c>
      <c r="B883" s="91">
        <v>0.27</v>
      </c>
      <c r="C883" s="92">
        <v>1</v>
      </c>
      <c r="D883" s="94">
        <v>33333333.333333332</v>
      </c>
      <c r="E883" s="91">
        <f>VLOOKUP(4429,收盤價!A:C,3,0)</f>
        <v>22.5</v>
      </c>
      <c r="F883" s="93">
        <v>750000000</v>
      </c>
      <c r="G883" s="93">
        <v>1068721000</v>
      </c>
      <c r="H883" s="117">
        <v>0.7</v>
      </c>
      <c r="I883" s="117">
        <v>20.83</v>
      </c>
    </row>
    <row r="884" spans="1:9">
      <c r="A884" s="116">
        <v>4430</v>
      </c>
      <c r="B884" s="91">
        <v>0.77</v>
      </c>
      <c r="C884" s="92">
        <v>0.78481012658227844</v>
      </c>
      <c r="D884" s="94">
        <v>55844155.844155841</v>
      </c>
      <c r="E884" s="91">
        <f>VLOOKUP(4430,收盤價!A:C,3,0)</f>
        <v>30.65</v>
      </c>
      <c r="F884" s="93">
        <v>1711623376.6233764</v>
      </c>
      <c r="G884" s="93">
        <v>2018600000</v>
      </c>
      <c r="H884" s="117">
        <v>0.85</v>
      </c>
      <c r="I884" s="117">
        <v>12.68</v>
      </c>
    </row>
    <row r="885" spans="1:9">
      <c r="A885" s="116">
        <v>4432</v>
      </c>
      <c r="B885" s="91">
        <v>0.76</v>
      </c>
      <c r="C885" s="92">
        <v>1</v>
      </c>
      <c r="D885" s="94">
        <v>50000000</v>
      </c>
      <c r="E885" s="91">
        <f>VLOOKUP(4432,收盤價!A:C,3,0)</f>
        <v>83.4</v>
      </c>
      <c r="F885" s="93">
        <v>4170000000.0000005</v>
      </c>
      <c r="G885" s="93">
        <v>2414160000</v>
      </c>
      <c r="H885" s="117">
        <v>1.73</v>
      </c>
      <c r="I885" s="117">
        <v>27.43</v>
      </c>
    </row>
    <row r="886" spans="1:9">
      <c r="A886" s="116">
        <v>4433</v>
      </c>
      <c r="B886" s="91">
        <v>1.68</v>
      </c>
      <c r="C886" s="92">
        <v>0.29411764705882354</v>
      </c>
      <c r="D886" s="94">
        <v>30357142.857142858</v>
      </c>
      <c r="E886" s="91">
        <f>VLOOKUP(4433,收盤價!A:C,3,0)</f>
        <v>40</v>
      </c>
      <c r="F886" s="93">
        <v>1214285714.2857144</v>
      </c>
      <c r="G886" s="93">
        <v>1433543000</v>
      </c>
      <c r="H886" s="117">
        <v>0.85</v>
      </c>
      <c r="I886" s="117">
        <v>20.239999999999998</v>
      </c>
    </row>
    <row r="887" spans="1:9">
      <c r="A887" s="116">
        <v>4502</v>
      </c>
      <c r="B887" s="91">
        <v>0.18</v>
      </c>
      <c r="C887" s="92">
        <v>0</v>
      </c>
      <c r="D887" s="94">
        <v>72222222.222222224</v>
      </c>
      <c r="E887" s="91">
        <f>VLOOKUP(4502,收盤價!A:C,3,0)</f>
        <v>7.9</v>
      </c>
      <c r="F887" s="93">
        <v>570555555.55555558</v>
      </c>
      <c r="G887" s="93">
        <v>1170974000</v>
      </c>
      <c r="H887" s="117">
        <v>0.49</v>
      </c>
      <c r="I887" s="117">
        <v>0</v>
      </c>
    </row>
    <row r="888" spans="1:9">
      <c r="A888" s="116">
        <v>4506</v>
      </c>
      <c r="B888" s="91">
        <v>0.76</v>
      </c>
      <c r="C888" s="92">
        <v>0.93286219081272082</v>
      </c>
      <c r="D888" s="94">
        <v>197368421.05263159</v>
      </c>
      <c r="E888" s="91">
        <f>VLOOKUP(4506,收盤價!A:C,3,0)</f>
        <v>32.950000000000003</v>
      </c>
      <c r="F888" s="93">
        <v>6503289473.6842117</v>
      </c>
      <c r="G888" s="93">
        <v>4578989000</v>
      </c>
      <c r="H888" s="117">
        <v>1.42</v>
      </c>
      <c r="I888" s="117">
        <v>11.62</v>
      </c>
    </row>
    <row r="889" spans="1:9">
      <c r="A889" s="116">
        <v>4510</v>
      </c>
      <c r="B889" s="91">
        <v>0.23</v>
      </c>
      <c r="C889" s="92">
        <v>1</v>
      </c>
      <c r="D889" s="94">
        <v>108695652.17391303</v>
      </c>
      <c r="E889" s="91">
        <f>VLOOKUP(4510,收盤價!A:C,3,0)</f>
        <v>16.45</v>
      </c>
      <c r="F889" s="93">
        <v>1788043478.2608693</v>
      </c>
      <c r="G889" s="93">
        <v>2118617000</v>
      </c>
      <c r="H889" s="117">
        <v>0.84</v>
      </c>
      <c r="I889" s="117">
        <v>17.88</v>
      </c>
    </row>
    <row r="890" spans="1:9">
      <c r="A890" s="116">
        <v>4513</v>
      </c>
      <c r="B890" s="91">
        <v>-0.02</v>
      </c>
      <c r="C890" s="92">
        <v>1</v>
      </c>
      <c r="D890" s="94">
        <v>50000000</v>
      </c>
      <c r="E890" s="91">
        <f>VLOOKUP(4513,收盤價!A:C,3,0)</f>
        <v>10.8</v>
      </c>
      <c r="F890" s="93">
        <v>540000000</v>
      </c>
      <c r="G890" s="93">
        <v>2438275000</v>
      </c>
      <c r="H890" s="117">
        <v>0.22</v>
      </c>
      <c r="I890" s="117">
        <v>0</v>
      </c>
    </row>
    <row r="891" spans="1:9">
      <c r="A891" s="116">
        <v>4523</v>
      </c>
      <c r="B891" s="91">
        <v>0.06</v>
      </c>
      <c r="C891" s="92">
        <v>0.2</v>
      </c>
      <c r="D891" s="94">
        <v>66666666.666666672</v>
      </c>
      <c r="E891" s="91">
        <f>VLOOKUP(4523,收盤價!A:C,3,0)</f>
        <v>21.4</v>
      </c>
      <c r="F891" s="93">
        <v>1426666666.6666667</v>
      </c>
      <c r="G891" s="93">
        <v>1484594000</v>
      </c>
      <c r="H891" s="117">
        <v>0.96</v>
      </c>
      <c r="I891" s="117">
        <v>445.83</v>
      </c>
    </row>
    <row r="892" spans="1:9">
      <c r="A892" s="116">
        <v>2451</v>
      </c>
      <c r="B892" s="91">
        <v>1.1399999999999999</v>
      </c>
      <c r="C892" s="92">
        <v>1</v>
      </c>
      <c r="D892" s="94">
        <v>430701754.38596493</v>
      </c>
      <c r="E892" s="91">
        <f>VLOOKUP(2451,收盤價!A:C,3,0)</f>
        <v>92</v>
      </c>
      <c r="F892" s="93">
        <v>39624561403.508774</v>
      </c>
      <c r="G892" s="93">
        <v>25252957000</v>
      </c>
      <c r="H892" s="117">
        <v>1.57</v>
      </c>
      <c r="I892" s="117">
        <v>20.18</v>
      </c>
    </row>
    <row r="893" spans="1:9">
      <c r="A893" s="116">
        <v>4527</v>
      </c>
      <c r="B893" s="91">
        <v>0.46</v>
      </c>
      <c r="C893" s="92">
        <v>0.98333333333333328</v>
      </c>
      <c r="D893" s="94">
        <v>76086956.521739125</v>
      </c>
      <c r="E893" s="91">
        <f>VLOOKUP(4527,收盤價!A:C,3,0)</f>
        <v>21.5</v>
      </c>
      <c r="F893" s="93">
        <v>1635869565.2173913</v>
      </c>
      <c r="G893" s="93">
        <v>2347762000</v>
      </c>
      <c r="H893" s="117">
        <v>0.7</v>
      </c>
      <c r="I893" s="117">
        <v>11.88</v>
      </c>
    </row>
    <row r="894" spans="1:9">
      <c r="A894" s="116">
        <v>4528</v>
      </c>
      <c r="B894" s="91">
        <v>0.83</v>
      </c>
      <c r="C894" s="92">
        <v>0.95205479452054798</v>
      </c>
      <c r="D894" s="94">
        <v>77108433.734939769</v>
      </c>
      <c r="E894" s="91">
        <f>VLOOKUP(4528,收盤價!A:C,3,0)</f>
        <v>65.599999999999994</v>
      </c>
      <c r="F894" s="93">
        <v>5058313253.0120487</v>
      </c>
      <c r="G894" s="93">
        <v>2145793000</v>
      </c>
      <c r="H894" s="117">
        <v>2.36</v>
      </c>
      <c r="I894" s="117">
        <v>20.75</v>
      </c>
    </row>
    <row r="895" spans="1:9">
      <c r="A895" s="116">
        <v>4529</v>
      </c>
      <c r="B895" s="91">
        <v>-0.55000000000000004</v>
      </c>
      <c r="C895" s="92">
        <v>0.93243243243243246</v>
      </c>
      <c r="D895" s="94">
        <v>72727272.727272719</v>
      </c>
      <c r="E895" s="91">
        <f>VLOOKUP(4529,收盤價!A:C,3,0)</f>
        <v>46</v>
      </c>
      <c r="F895" s="93">
        <v>3345454545.454545</v>
      </c>
      <c r="G895" s="93">
        <v>4603000</v>
      </c>
      <c r="H895" s="117">
        <v>726.8</v>
      </c>
      <c r="I895" s="117">
        <v>0</v>
      </c>
    </row>
    <row r="896" spans="1:9">
      <c r="A896" s="116">
        <v>4530</v>
      </c>
      <c r="B896" s="91">
        <v>-0.48</v>
      </c>
      <c r="C896" s="92">
        <v>0.8125</v>
      </c>
      <c r="D896" s="94">
        <v>29166666.666666668</v>
      </c>
      <c r="E896" s="91">
        <f>VLOOKUP(4530,收盤價!A:C,3,0)</f>
        <v>0</v>
      </c>
      <c r="F896" s="93">
        <v>0</v>
      </c>
      <c r="G896" s="93">
        <v>70574000</v>
      </c>
      <c r="H896" s="117">
        <v>0</v>
      </c>
      <c r="I896" s="117">
        <v>0</v>
      </c>
    </row>
    <row r="897" spans="1:9">
      <c r="A897" s="116">
        <v>3372</v>
      </c>
      <c r="B897" s="91">
        <v>-0.18</v>
      </c>
      <c r="C897" s="92">
        <v>0.6785714285714286</v>
      </c>
      <c r="D897" s="94">
        <v>394444444.44444448</v>
      </c>
      <c r="E897" s="91">
        <f>VLOOKUP(3372,收盤價!A:C,3,0)</f>
        <v>7.46</v>
      </c>
      <c r="F897" s="93">
        <v>2942555555.5555558</v>
      </c>
      <c r="G897" s="93">
        <v>2025539000</v>
      </c>
      <c r="H897" s="117">
        <v>1.45</v>
      </c>
      <c r="I897" s="117">
        <v>0</v>
      </c>
    </row>
    <row r="898" spans="1:9">
      <c r="A898" s="116">
        <v>4533</v>
      </c>
      <c r="B898" s="91">
        <v>0.39</v>
      </c>
      <c r="C898" s="92">
        <v>0.52857142857142858</v>
      </c>
      <c r="D898" s="94">
        <v>156410256.41025642</v>
      </c>
      <c r="E898" s="91">
        <f>VLOOKUP(4533,收盤價!A:C,3,0)</f>
        <v>11.7</v>
      </c>
      <c r="F898" s="93">
        <v>1830000000</v>
      </c>
      <c r="G898" s="93">
        <v>3567570000</v>
      </c>
      <c r="H898" s="117">
        <v>0.51</v>
      </c>
      <c r="I898" s="117">
        <v>14.19</v>
      </c>
    </row>
    <row r="899" spans="1:9">
      <c r="A899" s="116">
        <v>4534</v>
      </c>
      <c r="B899" s="91">
        <v>0.08</v>
      </c>
      <c r="C899" s="92">
        <v>0.33333333333333331</v>
      </c>
      <c r="D899" s="94">
        <v>75000000</v>
      </c>
      <c r="E899" s="91">
        <f>VLOOKUP(4534,收盤價!A:C,3,0)</f>
        <v>10.9</v>
      </c>
      <c r="F899" s="93">
        <v>817500000</v>
      </c>
      <c r="G899" s="93">
        <v>1146438000</v>
      </c>
      <c r="H899" s="117">
        <v>0.71</v>
      </c>
      <c r="I899" s="117">
        <v>102.19</v>
      </c>
    </row>
    <row r="900" spans="1:9">
      <c r="A900" s="116">
        <v>4535</v>
      </c>
      <c r="B900" s="91">
        <v>0.77</v>
      </c>
      <c r="C900" s="92">
        <v>1</v>
      </c>
      <c r="D900" s="94">
        <v>75324675.324675322</v>
      </c>
      <c r="E900" s="91">
        <f>VLOOKUP(4535,收盤價!A:C,3,0)</f>
        <v>44.75</v>
      </c>
      <c r="F900" s="93">
        <v>3370779220.7792206</v>
      </c>
      <c r="G900" s="93">
        <v>3367299000</v>
      </c>
      <c r="H900" s="117">
        <v>1</v>
      </c>
      <c r="I900" s="117">
        <v>14.53</v>
      </c>
    </row>
    <row r="901" spans="1:9">
      <c r="A901" s="116">
        <v>4536</v>
      </c>
      <c r="B901" s="91">
        <v>1.84</v>
      </c>
      <c r="C901" s="92">
        <v>0.77350427350427353</v>
      </c>
      <c r="D901" s="94">
        <v>90760869.565217391</v>
      </c>
      <c r="E901" s="91">
        <f>VLOOKUP(4536,收盤價!A:C,3,0)</f>
        <v>126.5</v>
      </c>
      <c r="F901" s="93">
        <v>11481250000</v>
      </c>
      <c r="G901" s="93">
        <v>6754720000</v>
      </c>
      <c r="H901" s="117">
        <v>1.7</v>
      </c>
      <c r="I901" s="117">
        <v>22.22</v>
      </c>
    </row>
    <row r="902" spans="1:9">
      <c r="A902" s="116">
        <v>4541</v>
      </c>
      <c r="B902" s="91">
        <v>0.3</v>
      </c>
      <c r="C902" s="92">
        <v>0.73913043478260865</v>
      </c>
      <c r="D902" s="94">
        <v>53333333.333333336</v>
      </c>
      <c r="E902" s="91">
        <f>VLOOKUP(4541,收盤價!A:C,3,0)</f>
        <v>32.4</v>
      </c>
      <c r="F902" s="93">
        <v>1728000000</v>
      </c>
      <c r="G902" s="93">
        <v>1040529000</v>
      </c>
      <c r="H902" s="117">
        <v>1.66</v>
      </c>
      <c r="I902" s="117">
        <v>36.53</v>
      </c>
    </row>
    <row r="903" spans="1:9">
      <c r="A903" s="116">
        <v>4542</v>
      </c>
      <c r="B903" s="91">
        <v>-0.14000000000000001</v>
      </c>
      <c r="C903" s="92">
        <v>1</v>
      </c>
      <c r="D903" s="94">
        <v>28571428.571428567</v>
      </c>
      <c r="E903" s="91">
        <f>VLOOKUP(4542,收盤價!A:C,3,0)</f>
        <v>23</v>
      </c>
      <c r="F903" s="93">
        <v>657142857.14285707</v>
      </c>
      <c r="G903" s="93">
        <v>635800000</v>
      </c>
      <c r="H903" s="117">
        <v>1.03</v>
      </c>
      <c r="I903" s="117">
        <v>0</v>
      </c>
    </row>
    <row r="904" spans="1:9">
      <c r="A904" s="116">
        <v>4549</v>
      </c>
      <c r="B904" s="91">
        <v>1.04</v>
      </c>
      <c r="C904" s="92">
        <v>0.953125</v>
      </c>
      <c r="D904" s="94">
        <v>36538461.538461536</v>
      </c>
      <c r="E904" s="91">
        <f>VLOOKUP(4549,收盤價!A:C,3,0)</f>
        <v>83</v>
      </c>
      <c r="F904" s="93">
        <v>3032692307.6923075</v>
      </c>
      <c r="G904" s="93">
        <v>879692000</v>
      </c>
      <c r="H904" s="117">
        <v>3.45</v>
      </c>
      <c r="I904" s="117">
        <v>20.93</v>
      </c>
    </row>
    <row r="905" spans="1:9">
      <c r="A905" s="116">
        <v>4550</v>
      </c>
      <c r="B905" s="91">
        <v>0.68</v>
      </c>
      <c r="C905" s="92">
        <v>1</v>
      </c>
      <c r="D905" s="94">
        <v>33823529.411764704</v>
      </c>
      <c r="E905" s="91">
        <f>VLOOKUP(4550,收盤價!A:C,3,0)</f>
        <v>22.7</v>
      </c>
      <c r="F905" s="93">
        <v>767794117.64705873</v>
      </c>
      <c r="G905" s="93">
        <v>1224029000</v>
      </c>
      <c r="H905" s="117">
        <v>0.63</v>
      </c>
      <c r="I905" s="117">
        <v>8.35</v>
      </c>
    </row>
    <row r="906" spans="1:9">
      <c r="A906" s="116">
        <v>4551</v>
      </c>
      <c r="B906" s="91">
        <v>1.01</v>
      </c>
      <c r="C906" s="92">
        <v>1</v>
      </c>
      <c r="D906" s="94">
        <v>74257425.74257426</v>
      </c>
      <c r="E906" s="91">
        <f>VLOOKUP(4551,收盤價!A:C,3,0)</f>
        <v>63.5</v>
      </c>
      <c r="F906" s="93">
        <v>4715346534.6534653</v>
      </c>
      <c r="G906" s="93">
        <v>2976869000</v>
      </c>
      <c r="H906" s="117">
        <v>1.58</v>
      </c>
      <c r="I906" s="117">
        <v>15.72</v>
      </c>
    </row>
    <row r="907" spans="1:9">
      <c r="A907" s="116">
        <v>4609</v>
      </c>
      <c r="B907" s="91">
        <v>-0.59</v>
      </c>
      <c r="C907" s="92">
        <v>0.96</v>
      </c>
      <c r="D907" s="94">
        <v>47457627.118644074</v>
      </c>
      <c r="E907" s="91">
        <f>VLOOKUP(4609,收盤價!A:C,3,0)</f>
        <v>9.2100000000000009</v>
      </c>
      <c r="F907" s="93">
        <v>437084745.76271194</v>
      </c>
      <c r="G907" s="93">
        <v>986689000</v>
      </c>
      <c r="H907" s="117">
        <v>0.44</v>
      </c>
      <c r="I907" s="117">
        <v>0</v>
      </c>
    </row>
    <row r="908" spans="1:9">
      <c r="A908" s="116">
        <v>4702</v>
      </c>
      <c r="B908" s="91">
        <v>0.12</v>
      </c>
      <c r="C908" s="92">
        <v>0</v>
      </c>
      <c r="D908" s="94">
        <v>191666666.66666669</v>
      </c>
      <c r="E908" s="91">
        <f>VLOOKUP(4702,收盤價!A:C,3,0)</f>
        <v>12.4</v>
      </c>
      <c r="F908" s="93">
        <v>2376666666.666667</v>
      </c>
      <c r="G908" s="93">
        <v>1083400000</v>
      </c>
      <c r="H908" s="117">
        <v>2.19</v>
      </c>
      <c r="I908" s="117">
        <v>0</v>
      </c>
    </row>
    <row r="909" spans="1:9">
      <c r="A909" s="116">
        <v>4706</v>
      </c>
      <c r="B909" s="91">
        <v>0.2</v>
      </c>
      <c r="C909" s="92">
        <v>0.8928571428571429</v>
      </c>
      <c r="D909" s="94">
        <v>80000000</v>
      </c>
      <c r="E909" s="91">
        <f>VLOOKUP(4706,收盤價!A:C,3,0)</f>
        <v>15</v>
      </c>
      <c r="F909" s="93">
        <v>1200000000</v>
      </c>
      <c r="G909" s="93">
        <v>1455823000</v>
      </c>
      <c r="H909" s="117">
        <v>0.82</v>
      </c>
      <c r="I909" s="117">
        <v>21</v>
      </c>
    </row>
    <row r="910" spans="1:9">
      <c r="A910" s="116">
        <v>4711</v>
      </c>
      <c r="B910" s="91">
        <v>0.04</v>
      </c>
      <c r="C910" s="92">
        <v>1</v>
      </c>
      <c r="D910" s="94">
        <v>75000000</v>
      </c>
      <c r="E910" s="91">
        <f>VLOOKUP(4711,收盤價!A:C,3,0)</f>
        <v>11.85</v>
      </c>
      <c r="F910" s="93">
        <v>888750000</v>
      </c>
      <c r="G910" s="93">
        <v>1298141000</v>
      </c>
      <c r="H910" s="117">
        <v>0.68</v>
      </c>
      <c r="I910" s="117">
        <v>74.06</v>
      </c>
    </row>
    <row r="911" spans="1:9">
      <c r="A911" s="116">
        <v>4712</v>
      </c>
      <c r="B911" s="91">
        <v>-0.12</v>
      </c>
      <c r="C911" s="92">
        <v>1</v>
      </c>
      <c r="D911" s="94">
        <v>91666666.666666672</v>
      </c>
      <c r="E911" s="91">
        <f>VLOOKUP(4712,收盤價!A:C,3,0)</f>
        <v>8.07</v>
      </c>
      <c r="F911" s="93">
        <v>739750000.00000012</v>
      </c>
      <c r="G911" s="93">
        <v>1325266000</v>
      </c>
      <c r="H911" s="117">
        <v>0.56000000000000005</v>
      </c>
      <c r="I911" s="117">
        <v>0</v>
      </c>
    </row>
    <row r="912" spans="1:9">
      <c r="A912" s="116">
        <v>4714</v>
      </c>
      <c r="B912" s="91">
        <v>0.09</v>
      </c>
      <c r="C912" s="92">
        <v>0.9285714285714286</v>
      </c>
      <c r="D912" s="94">
        <v>55555555.55555556</v>
      </c>
      <c r="E912" s="91">
        <f>VLOOKUP(4714,收盤價!A:C,3,0)</f>
        <v>9.36</v>
      </c>
      <c r="F912" s="93">
        <v>520000000</v>
      </c>
      <c r="G912" s="93">
        <v>758338000</v>
      </c>
      <c r="H912" s="117">
        <v>0.69</v>
      </c>
      <c r="I912" s="117">
        <v>28</v>
      </c>
    </row>
    <row r="913" spans="1:9">
      <c r="A913" s="116">
        <v>4716</v>
      </c>
      <c r="B913" s="91">
        <v>7.0000000000000007E-2</v>
      </c>
      <c r="C913" s="92">
        <v>1</v>
      </c>
      <c r="D913" s="94">
        <v>71428571.428571418</v>
      </c>
      <c r="E913" s="91">
        <f>VLOOKUP(4716,收盤價!A:C,3,0)</f>
        <v>11.25</v>
      </c>
      <c r="F913" s="93">
        <v>803571428.57142842</v>
      </c>
      <c r="G913" s="93">
        <v>1142448000</v>
      </c>
      <c r="H913" s="117">
        <v>0.7</v>
      </c>
      <c r="I913" s="117">
        <v>40.18</v>
      </c>
    </row>
    <row r="914" spans="1:9">
      <c r="A914" s="116">
        <v>4720</v>
      </c>
      <c r="B914" s="91">
        <v>0.35</v>
      </c>
      <c r="C914" s="92">
        <v>0.88636363636363635</v>
      </c>
      <c r="D914" s="94">
        <v>80000000</v>
      </c>
      <c r="E914" s="91">
        <f>VLOOKUP(4720,收盤價!A:C,3,0)</f>
        <v>15.7</v>
      </c>
      <c r="F914" s="93">
        <v>1256000000</v>
      </c>
      <c r="G914" s="93">
        <v>2473155000</v>
      </c>
      <c r="H914" s="117">
        <v>0.51</v>
      </c>
      <c r="I914" s="117">
        <v>12.65</v>
      </c>
    </row>
    <row r="915" spans="1:9">
      <c r="A915" s="116">
        <v>4721</v>
      </c>
      <c r="B915" s="91">
        <v>0.17</v>
      </c>
      <c r="C915" s="92">
        <v>0.45161290322580644</v>
      </c>
      <c r="D915" s="94">
        <v>76470588.235294119</v>
      </c>
      <c r="E915" s="91">
        <f>VLOOKUP(4721,收盤價!A:C,3,0)</f>
        <v>19.850000000000001</v>
      </c>
      <c r="F915" s="93">
        <v>1517941176.4705884</v>
      </c>
      <c r="G915" s="93">
        <v>2239685000</v>
      </c>
      <c r="H915" s="117">
        <v>0.68</v>
      </c>
      <c r="I915" s="117">
        <v>64.64</v>
      </c>
    </row>
    <row r="916" spans="1:9">
      <c r="A916" s="116">
        <v>4722</v>
      </c>
      <c r="B916" s="91">
        <v>0.83</v>
      </c>
      <c r="C916" s="92">
        <v>1</v>
      </c>
      <c r="D916" s="94">
        <v>87951807.228915662</v>
      </c>
      <c r="E916" s="91">
        <f>VLOOKUP(4722,收盤價!A:C,3,0)</f>
        <v>34.6</v>
      </c>
      <c r="F916" s="93">
        <v>3043132530.120482</v>
      </c>
      <c r="G916" s="93">
        <v>4775035000</v>
      </c>
      <c r="H916" s="117">
        <v>0.64</v>
      </c>
      <c r="I916" s="117">
        <v>10.42</v>
      </c>
    </row>
    <row r="917" spans="1:9">
      <c r="A917" s="116">
        <v>1307</v>
      </c>
      <c r="B917" s="91">
        <v>0.56999999999999995</v>
      </c>
      <c r="C917" s="92">
        <v>1</v>
      </c>
      <c r="D917" s="94">
        <v>385964912.28070182</v>
      </c>
      <c r="E917" s="91">
        <f>VLOOKUP(1307,收盤價!A:C,3,0)</f>
        <v>43.2</v>
      </c>
      <c r="F917" s="93">
        <v>16673684210.52632</v>
      </c>
      <c r="G917" s="93">
        <v>11305806000</v>
      </c>
      <c r="H917" s="117">
        <v>1.47</v>
      </c>
      <c r="I917" s="117">
        <v>18.95</v>
      </c>
    </row>
    <row r="918" spans="1:9">
      <c r="A918" s="116">
        <v>4726</v>
      </c>
      <c r="B918" s="91">
        <v>-0.48</v>
      </c>
      <c r="C918" s="92">
        <v>1</v>
      </c>
      <c r="D918" s="94">
        <v>110416666.66666667</v>
      </c>
      <c r="E918" s="91">
        <f>VLOOKUP(4726,收盤價!A:C,3,0)</f>
        <v>38</v>
      </c>
      <c r="F918" s="93">
        <v>4195833333.3333335</v>
      </c>
      <c r="G918" s="93">
        <v>93077000</v>
      </c>
      <c r="H918" s="117">
        <v>45.08</v>
      </c>
      <c r="I918" s="117">
        <v>0</v>
      </c>
    </row>
    <row r="919" spans="1:9">
      <c r="A919" s="116">
        <v>4728</v>
      </c>
      <c r="B919" s="91">
        <v>-0.24</v>
      </c>
      <c r="C919" s="92">
        <v>1</v>
      </c>
      <c r="D919" s="94">
        <v>54166666.666666672</v>
      </c>
      <c r="E919" s="91">
        <f>VLOOKUP(4728,收盤價!A:C,3,0)</f>
        <v>28.1</v>
      </c>
      <c r="F919" s="93">
        <v>1522083333.3333335</v>
      </c>
      <c r="G919" s="93">
        <v>154612000</v>
      </c>
      <c r="H919" s="117">
        <v>9.84</v>
      </c>
      <c r="I919" s="117">
        <v>0</v>
      </c>
    </row>
    <row r="920" spans="1:9">
      <c r="A920" s="116">
        <v>4729</v>
      </c>
      <c r="B920" s="91">
        <v>-0.03</v>
      </c>
      <c r="C920" s="92">
        <v>0</v>
      </c>
      <c r="D920" s="94">
        <v>133333333.33333334</v>
      </c>
      <c r="E920" s="91">
        <f>VLOOKUP(4729,收盤價!A:C,3,0)</f>
        <v>13.95</v>
      </c>
      <c r="F920" s="93">
        <v>1860000000</v>
      </c>
      <c r="G920" s="93">
        <v>6563957000</v>
      </c>
      <c r="H920" s="117">
        <v>0.28000000000000003</v>
      </c>
      <c r="I920" s="117">
        <v>0</v>
      </c>
    </row>
    <row r="921" spans="1:9">
      <c r="A921" s="116">
        <v>4733</v>
      </c>
      <c r="B921" s="91">
        <v>3.06</v>
      </c>
      <c r="C921" s="92">
        <v>1</v>
      </c>
      <c r="D921" s="94">
        <v>85947712.418300658</v>
      </c>
      <c r="E921" s="91">
        <f>VLOOKUP(4733,收盤價!A:C,3,0)</f>
        <v>231</v>
      </c>
      <c r="F921" s="93">
        <v>19853921568.627453</v>
      </c>
      <c r="G921" s="93">
        <v>9246999000</v>
      </c>
      <c r="H921" s="117">
        <v>2.15</v>
      </c>
      <c r="I921" s="117">
        <v>18.87</v>
      </c>
    </row>
    <row r="922" spans="1:9">
      <c r="A922" s="116">
        <v>4735</v>
      </c>
      <c r="B922" s="91">
        <v>0.35</v>
      </c>
      <c r="C922" s="92">
        <v>1</v>
      </c>
      <c r="D922" s="94">
        <v>31428571.428571429</v>
      </c>
      <c r="E922" s="91">
        <f>VLOOKUP(4735,收盤價!A:C,3,0)</f>
        <v>23.1</v>
      </c>
      <c r="F922" s="93">
        <v>726000000</v>
      </c>
      <c r="G922" s="93">
        <v>975702000</v>
      </c>
      <c r="H922" s="117">
        <v>0.74</v>
      </c>
      <c r="I922" s="117">
        <v>16.5</v>
      </c>
    </row>
    <row r="923" spans="1:9">
      <c r="A923" s="116">
        <v>4736</v>
      </c>
      <c r="B923" s="91">
        <v>1.38</v>
      </c>
      <c r="C923" s="92">
        <v>1</v>
      </c>
      <c r="D923" s="94">
        <v>68115942.028985515</v>
      </c>
      <c r="E923" s="91">
        <f>VLOOKUP(4736,收盤價!A:C,3,0)</f>
        <v>92.4</v>
      </c>
      <c r="F923" s="93">
        <v>6293913043.4782619</v>
      </c>
      <c r="G923" s="93">
        <v>2591219000</v>
      </c>
      <c r="H923" s="117">
        <v>2.4300000000000002</v>
      </c>
      <c r="I923" s="117">
        <v>16.739999999999998</v>
      </c>
    </row>
    <row r="924" spans="1:9">
      <c r="A924" s="116">
        <v>4737</v>
      </c>
      <c r="B924" s="91">
        <v>0.24</v>
      </c>
      <c r="C924" s="92">
        <v>1</v>
      </c>
      <c r="D924" s="94">
        <v>50000000</v>
      </c>
      <c r="E924" s="91">
        <f>VLOOKUP(4737,收盤價!A:C,3,0)</f>
        <v>54.2</v>
      </c>
      <c r="F924" s="93">
        <v>2710000000</v>
      </c>
      <c r="G924" s="93">
        <v>1626946000</v>
      </c>
      <c r="H924" s="117">
        <v>1.67</v>
      </c>
      <c r="I924" s="117">
        <v>56.46</v>
      </c>
    </row>
    <row r="925" spans="1:9">
      <c r="A925" s="116">
        <v>4739</v>
      </c>
      <c r="B925" s="91">
        <v>0.44</v>
      </c>
      <c r="C925" s="92">
        <v>0.69620253164556967</v>
      </c>
      <c r="D925" s="94">
        <v>68181818.181818187</v>
      </c>
      <c r="E925" s="91">
        <f>VLOOKUP(4739,收盤價!A:C,3,0)</f>
        <v>44.6</v>
      </c>
      <c r="F925" s="93">
        <v>3040909090.9090915</v>
      </c>
      <c r="G925" s="93">
        <v>3670187000</v>
      </c>
      <c r="H925" s="117">
        <v>0.83</v>
      </c>
      <c r="I925" s="117">
        <v>36.4</v>
      </c>
    </row>
    <row r="926" spans="1:9">
      <c r="A926" s="116">
        <v>4743</v>
      </c>
      <c r="B926" s="91">
        <v>-0.13</v>
      </c>
      <c r="C926" s="92">
        <v>0.95744680851063835</v>
      </c>
      <c r="D926" s="94">
        <v>176923076.92307693</v>
      </c>
      <c r="E926" s="91">
        <f>VLOOKUP(4743,收盤價!A:C,3,0)</f>
        <v>35.85</v>
      </c>
      <c r="F926" s="93">
        <v>6342692307.6923084</v>
      </c>
      <c r="G926" s="93">
        <v>7486000</v>
      </c>
      <c r="H926" s="117">
        <v>847.27</v>
      </c>
      <c r="I926" s="117">
        <v>0</v>
      </c>
    </row>
    <row r="927" spans="1:9">
      <c r="A927" s="116">
        <v>4745</v>
      </c>
      <c r="B927" s="91">
        <v>0.75</v>
      </c>
      <c r="C927" s="92">
        <v>1</v>
      </c>
      <c r="D927" s="94">
        <v>56000000</v>
      </c>
      <c r="E927" s="91">
        <f>VLOOKUP(4745,收盤價!A:C,3,0)</f>
        <v>73.3</v>
      </c>
      <c r="F927" s="93">
        <v>4104800000</v>
      </c>
      <c r="G927" s="93">
        <v>3253985000</v>
      </c>
      <c r="H927" s="117">
        <v>1.26</v>
      </c>
      <c r="I927" s="117">
        <v>24.43</v>
      </c>
    </row>
    <row r="928" spans="1:9">
      <c r="A928" s="116">
        <v>4746</v>
      </c>
      <c r="B928" s="91">
        <v>0.2</v>
      </c>
      <c r="C928" s="92">
        <v>1</v>
      </c>
      <c r="D928" s="94">
        <v>85000000</v>
      </c>
      <c r="E928" s="91">
        <f>VLOOKUP(4746,收盤價!A:C,3,0)</f>
        <v>60.4</v>
      </c>
      <c r="F928" s="93">
        <v>5134000000</v>
      </c>
      <c r="G928" s="93">
        <v>2140477000</v>
      </c>
      <c r="H928" s="117">
        <v>2.4</v>
      </c>
      <c r="I928" s="117">
        <v>75.5</v>
      </c>
    </row>
    <row r="929" spans="1:9">
      <c r="A929" s="116">
        <v>4747</v>
      </c>
      <c r="B929" s="91">
        <v>0.46</v>
      </c>
      <c r="C929" s="92">
        <v>0.9285714285714286</v>
      </c>
      <c r="D929" s="94">
        <v>30434782.608695652</v>
      </c>
      <c r="E929" s="91">
        <f>VLOOKUP(4747,收盤價!A:C,3,0)</f>
        <v>41.6</v>
      </c>
      <c r="F929" s="93">
        <v>1266086956.5217392</v>
      </c>
      <c r="G929" s="93">
        <v>369798000</v>
      </c>
      <c r="H929" s="117">
        <v>3.42</v>
      </c>
      <c r="I929" s="117">
        <v>24.35</v>
      </c>
    </row>
    <row r="930" spans="1:9">
      <c r="A930" s="116">
        <v>4755</v>
      </c>
      <c r="B930" s="91">
        <v>0.51</v>
      </c>
      <c r="C930" s="92">
        <v>0.65853658536585369</v>
      </c>
      <c r="D930" s="94">
        <v>90196078.431372553</v>
      </c>
      <c r="E930" s="91">
        <f>VLOOKUP(4755,收盤價!A:C,3,0)</f>
        <v>23.95</v>
      </c>
      <c r="F930" s="93">
        <v>2160196078.4313726</v>
      </c>
      <c r="G930" s="93">
        <v>3421102000</v>
      </c>
      <c r="H930" s="117">
        <v>0.63</v>
      </c>
      <c r="I930" s="117">
        <v>17.829999999999998</v>
      </c>
    </row>
    <row r="931" spans="1:9">
      <c r="A931" s="116">
        <v>4903</v>
      </c>
      <c r="B931" s="91">
        <v>-0.14000000000000001</v>
      </c>
      <c r="C931" s="92">
        <v>1</v>
      </c>
      <c r="D931" s="94">
        <v>92857142.857142851</v>
      </c>
      <c r="E931" s="91">
        <f>VLOOKUP(4903,收盤價!A:C,3,0)</f>
        <v>10.050000000000001</v>
      </c>
      <c r="F931" s="93">
        <v>933214285.71428573</v>
      </c>
      <c r="G931" s="93">
        <v>1960783000</v>
      </c>
      <c r="H931" s="117">
        <v>0.48</v>
      </c>
      <c r="I931" s="117">
        <v>0</v>
      </c>
    </row>
    <row r="932" spans="1:9">
      <c r="A932" s="116">
        <v>4904</v>
      </c>
      <c r="B932" s="91">
        <v>0.97</v>
      </c>
      <c r="C932" s="92">
        <v>1</v>
      </c>
      <c r="D932" s="94">
        <v>3255670103.0927835</v>
      </c>
      <c r="E932" s="91">
        <f>VLOOKUP(4904,收盤價!A:C,3,0)</f>
        <v>72</v>
      </c>
      <c r="F932" s="93">
        <v>234408247422.68042</v>
      </c>
      <c r="G932" s="93">
        <v>97795055000</v>
      </c>
      <c r="H932" s="117">
        <v>2.4</v>
      </c>
      <c r="I932" s="117">
        <v>18.559999999999999</v>
      </c>
    </row>
    <row r="933" spans="1:9">
      <c r="A933" s="116">
        <v>4905</v>
      </c>
      <c r="B933" s="91">
        <v>-0.28999999999999998</v>
      </c>
      <c r="C933" s="92">
        <v>0</v>
      </c>
      <c r="D933" s="94">
        <v>51724137.931034483</v>
      </c>
      <c r="E933" s="91">
        <f>VLOOKUP(4905,收盤價!A:C,3,0)</f>
        <v>41.2</v>
      </c>
      <c r="F933" s="93">
        <v>2131034482.7586207</v>
      </c>
      <c r="G933" s="93">
        <v>142916000</v>
      </c>
      <c r="H933" s="117">
        <v>14.91</v>
      </c>
      <c r="I933" s="117">
        <v>0</v>
      </c>
    </row>
    <row r="934" spans="1:9">
      <c r="A934" s="116">
        <v>2548</v>
      </c>
      <c r="B934" s="91">
        <v>2.6</v>
      </c>
      <c r="C934" s="92">
        <v>0.9978779840848806</v>
      </c>
      <c r="D934" s="94">
        <v>276153846.15384614</v>
      </c>
      <c r="E934" s="91">
        <f>VLOOKUP(2548,收盤價!A:C,3,0)</f>
        <v>58.5</v>
      </c>
      <c r="F934" s="93">
        <v>16155000000</v>
      </c>
      <c r="G934" s="93">
        <v>10751327000</v>
      </c>
      <c r="H934" s="117">
        <v>1.5</v>
      </c>
      <c r="I934" s="117">
        <v>5.64</v>
      </c>
    </row>
    <row r="935" spans="1:9">
      <c r="A935" s="116">
        <v>4907</v>
      </c>
      <c r="B935" s="91">
        <v>0.48</v>
      </c>
      <c r="C935" s="92">
        <v>0.98</v>
      </c>
      <c r="D935" s="94">
        <v>118750000</v>
      </c>
      <c r="E935" s="91">
        <f>VLOOKUP(4907,收盤價!A:C,3,0)</f>
        <v>11.75</v>
      </c>
      <c r="F935" s="93">
        <v>1395312500</v>
      </c>
      <c r="G935" s="93">
        <v>349492000</v>
      </c>
      <c r="H935" s="117">
        <v>3.99</v>
      </c>
      <c r="I935" s="117">
        <v>6.24</v>
      </c>
    </row>
    <row r="936" spans="1:9">
      <c r="A936" s="116">
        <v>4908</v>
      </c>
      <c r="B936" s="91">
        <v>0.09</v>
      </c>
      <c r="C936" s="92">
        <v>1</v>
      </c>
      <c r="D936" s="94">
        <v>77777777.777777776</v>
      </c>
      <c r="E936" s="91">
        <f>VLOOKUP(4908,收盤價!A:C,3,0)</f>
        <v>18.5</v>
      </c>
      <c r="F936" s="93">
        <v>1438888888.8888888</v>
      </c>
      <c r="G936" s="93">
        <v>1051617000</v>
      </c>
      <c r="H936" s="117">
        <v>1.37</v>
      </c>
      <c r="I936" s="117">
        <v>51.39</v>
      </c>
    </row>
    <row r="937" spans="1:9">
      <c r="A937" s="116">
        <v>4909</v>
      </c>
      <c r="B937" s="91">
        <v>0.28000000000000003</v>
      </c>
      <c r="C937" s="92">
        <v>1</v>
      </c>
      <c r="D937" s="94">
        <v>92857142.857142851</v>
      </c>
      <c r="E937" s="91">
        <f>VLOOKUP(4909,收盤價!A:C,3,0)</f>
        <v>21.4</v>
      </c>
      <c r="F937" s="93">
        <v>1987142857.1428568</v>
      </c>
      <c r="G937" s="93">
        <v>1550719000</v>
      </c>
      <c r="H937" s="117">
        <v>1.28</v>
      </c>
      <c r="I937" s="117">
        <v>19.11</v>
      </c>
    </row>
    <row r="938" spans="1:9">
      <c r="A938" s="116">
        <v>4911</v>
      </c>
      <c r="B938" s="91">
        <v>-0.13</v>
      </c>
      <c r="C938" s="92">
        <v>1</v>
      </c>
      <c r="D938" s="94">
        <v>53846153.846153848</v>
      </c>
      <c r="E938" s="91">
        <f>VLOOKUP(4911,收盤價!A:C,3,0)</f>
        <v>86</v>
      </c>
      <c r="F938" s="93">
        <v>4630769230.7692308</v>
      </c>
      <c r="G938" s="93">
        <v>52621000</v>
      </c>
      <c r="H938" s="117">
        <v>88</v>
      </c>
      <c r="I938" s="117">
        <v>0</v>
      </c>
    </row>
    <row r="939" spans="1:9">
      <c r="A939" s="116">
        <v>4912</v>
      </c>
      <c r="B939" s="91">
        <v>0.23</v>
      </c>
      <c r="C939" s="92">
        <v>1</v>
      </c>
      <c r="D939" s="94">
        <v>39130434.782608695</v>
      </c>
      <c r="E939" s="91">
        <f>VLOOKUP(4912,收盤價!A:C,3,0)</f>
        <v>83</v>
      </c>
      <c r="F939" s="93">
        <v>3247826086.9565215</v>
      </c>
      <c r="G939" s="93">
        <v>3003110000</v>
      </c>
      <c r="H939" s="117">
        <v>1.08</v>
      </c>
      <c r="I939" s="117">
        <v>90.22</v>
      </c>
    </row>
    <row r="940" spans="1:9">
      <c r="A940" s="116">
        <v>9921</v>
      </c>
      <c r="B940" s="91">
        <v>2.2200000000000002</v>
      </c>
      <c r="C940" s="92">
        <v>1</v>
      </c>
      <c r="D940" s="94">
        <v>376576576.57657653</v>
      </c>
      <c r="E940" s="91">
        <f>VLOOKUP(9921,收盤價!A:C,3,0)</f>
        <v>250</v>
      </c>
      <c r="F940" s="93">
        <v>94144144144.144135</v>
      </c>
      <c r="G940" s="93">
        <v>61343858000</v>
      </c>
      <c r="H940" s="117">
        <v>1.53</v>
      </c>
      <c r="I940" s="117">
        <v>28.15</v>
      </c>
    </row>
    <row r="941" spans="1:9">
      <c r="A941" s="116">
        <v>4916</v>
      </c>
      <c r="B941" s="91">
        <v>-0.28000000000000003</v>
      </c>
      <c r="C941" s="92">
        <v>0.75</v>
      </c>
      <c r="D941" s="94">
        <v>67857142.857142851</v>
      </c>
      <c r="E941" s="91">
        <f>VLOOKUP(4916,收盤價!A:C,3,0)</f>
        <v>22.7</v>
      </c>
      <c r="F941" s="93">
        <v>1540357142.8571427</v>
      </c>
      <c r="G941" s="93">
        <v>1339301000</v>
      </c>
      <c r="H941" s="117">
        <v>1.1499999999999999</v>
      </c>
      <c r="I941" s="117">
        <v>0</v>
      </c>
    </row>
    <row r="942" spans="1:9">
      <c r="A942" s="116">
        <v>2008</v>
      </c>
      <c r="B942" s="91">
        <v>-0.16</v>
      </c>
      <c r="C942" s="92">
        <v>1</v>
      </c>
      <c r="D942" s="94">
        <v>275000000</v>
      </c>
      <c r="E942" s="91">
        <f>VLOOKUP(2008,收盤價!A:C,3,0)</f>
        <v>8.1999999999999993</v>
      </c>
      <c r="F942" s="93">
        <v>2255000000</v>
      </c>
      <c r="G942" s="93">
        <v>1472931000</v>
      </c>
      <c r="H942" s="117">
        <v>1.53</v>
      </c>
      <c r="I942" s="117">
        <v>0</v>
      </c>
    </row>
    <row r="943" spans="1:9">
      <c r="A943" s="116">
        <v>4924</v>
      </c>
      <c r="B943" s="91">
        <v>0.09</v>
      </c>
      <c r="C943" s="92">
        <v>1</v>
      </c>
      <c r="D943" s="94">
        <v>33333333.333333336</v>
      </c>
      <c r="E943" s="91">
        <f>VLOOKUP(4924,收盤價!A:C,3,0)</f>
        <v>6.3</v>
      </c>
      <c r="F943" s="93">
        <v>210000000</v>
      </c>
      <c r="G943" s="93">
        <v>629458000</v>
      </c>
      <c r="H943" s="117">
        <v>0.33</v>
      </c>
      <c r="I943" s="117">
        <v>17.5</v>
      </c>
    </row>
    <row r="944" spans="1:9">
      <c r="A944" s="116">
        <v>4927</v>
      </c>
      <c r="B944" s="91">
        <v>0.63</v>
      </c>
      <c r="C944" s="92">
        <v>1</v>
      </c>
      <c r="D944" s="94">
        <v>123809523.80952381</v>
      </c>
      <c r="E944" s="91">
        <f>VLOOKUP(4927,收盤價!A:C,3,0)</f>
        <v>41.8</v>
      </c>
      <c r="F944" s="93">
        <v>5175238095.2380943</v>
      </c>
      <c r="G944" s="93">
        <v>8026227000</v>
      </c>
      <c r="H944" s="117">
        <v>0.64</v>
      </c>
      <c r="I944" s="117">
        <v>16.59</v>
      </c>
    </row>
    <row r="945" spans="1:9">
      <c r="A945" s="116">
        <v>4930</v>
      </c>
      <c r="B945" s="91">
        <v>-0.41</v>
      </c>
      <c r="C945" s="92">
        <v>1</v>
      </c>
      <c r="D945" s="94">
        <v>134146341.46341464</v>
      </c>
      <c r="E945" s="91">
        <f>VLOOKUP(4930,收盤價!A:C,3,0)</f>
        <v>17.05</v>
      </c>
      <c r="F945" s="93">
        <v>2287195121.9512196</v>
      </c>
      <c r="G945" s="93">
        <v>13885933000</v>
      </c>
      <c r="H945" s="117">
        <v>0.16</v>
      </c>
      <c r="I945" s="117">
        <v>0</v>
      </c>
    </row>
    <row r="946" spans="1:9">
      <c r="A946" s="116">
        <v>4933</v>
      </c>
      <c r="B946" s="91">
        <v>0.26</v>
      </c>
      <c r="C946" s="92">
        <v>1</v>
      </c>
      <c r="D946" s="94">
        <v>76923076.923076928</v>
      </c>
      <c r="E946" s="91">
        <f>VLOOKUP(4933,收盤價!A:C,3,0)</f>
        <v>25.7</v>
      </c>
      <c r="F946" s="93">
        <v>1976923076.9230769</v>
      </c>
      <c r="G946" s="93">
        <v>3969030000</v>
      </c>
      <c r="H946" s="117">
        <v>0.5</v>
      </c>
      <c r="I946" s="117">
        <v>24.71</v>
      </c>
    </row>
    <row r="947" spans="1:9">
      <c r="A947" s="116">
        <v>6257</v>
      </c>
      <c r="B947" s="91">
        <v>0.61</v>
      </c>
      <c r="C947" s="92">
        <v>0.96286472148541113</v>
      </c>
      <c r="D947" s="94">
        <v>362295081.96721309</v>
      </c>
      <c r="E947" s="91">
        <f>VLOOKUP(6257,收盤價!A:C,3,0)</f>
        <v>21.5</v>
      </c>
      <c r="F947" s="93">
        <v>7789344262.2950811</v>
      </c>
      <c r="G947" s="93">
        <v>5095601000</v>
      </c>
      <c r="H947" s="117">
        <v>1.53</v>
      </c>
      <c r="I947" s="117">
        <v>9.15</v>
      </c>
    </row>
    <row r="948" spans="1:9">
      <c r="A948" s="116">
        <v>4935</v>
      </c>
      <c r="B948" s="91">
        <v>1.2</v>
      </c>
      <c r="C948" s="92">
        <v>0.99665551839464883</v>
      </c>
      <c r="D948" s="94">
        <v>130000000</v>
      </c>
      <c r="E948" s="91">
        <f>VLOOKUP(4935,收盤價!A:C,3,0)</f>
        <v>59.4</v>
      </c>
      <c r="F948" s="93">
        <v>7722000000</v>
      </c>
      <c r="G948" s="93">
        <v>6949005000</v>
      </c>
      <c r="H948" s="117">
        <v>1.1100000000000001</v>
      </c>
      <c r="I948" s="117">
        <v>12.42</v>
      </c>
    </row>
    <row r="949" spans="1:9">
      <c r="A949" s="116">
        <v>4938</v>
      </c>
      <c r="B949" s="91">
        <v>1.82</v>
      </c>
      <c r="C949" s="92">
        <v>0.81964675892206851</v>
      </c>
      <c r="D949" s="94">
        <v>2558241758.2417583</v>
      </c>
      <c r="E949" s="91">
        <f>VLOOKUP(4938,收盤價!A:C,3,0)</f>
        <v>82</v>
      </c>
      <c r="F949" s="93">
        <v>209775824175.82419</v>
      </c>
      <c r="G949" s="93">
        <v>1093668774000</v>
      </c>
      <c r="H949" s="117">
        <v>0.19</v>
      </c>
      <c r="I949" s="117">
        <v>13.74</v>
      </c>
    </row>
    <row r="950" spans="1:9">
      <c r="A950" s="116">
        <v>4939</v>
      </c>
      <c r="B950" s="91">
        <v>-0.49</v>
      </c>
      <c r="C950" s="92">
        <v>0.55555555555555558</v>
      </c>
      <c r="D950" s="94">
        <v>97959183.673469394</v>
      </c>
      <c r="E950" s="91">
        <f>VLOOKUP(4939,收盤價!A:C,3,0)</f>
        <v>9.5</v>
      </c>
      <c r="F950" s="93">
        <v>930612244.89795923</v>
      </c>
      <c r="G950" s="93">
        <v>1710949000</v>
      </c>
      <c r="H950" s="117">
        <v>0.54</v>
      </c>
      <c r="I950" s="117">
        <v>0</v>
      </c>
    </row>
    <row r="951" spans="1:9">
      <c r="A951" s="116">
        <v>4942</v>
      </c>
      <c r="B951" s="91">
        <v>-0.25</v>
      </c>
      <c r="C951" s="92">
        <v>1</v>
      </c>
      <c r="D951" s="94">
        <v>156000000</v>
      </c>
      <c r="E951" s="91">
        <f>VLOOKUP(4942,收盤價!A:C,3,0)</f>
        <v>23.6</v>
      </c>
      <c r="F951" s="93">
        <v>3681600000</v>
      </c>
      <c r="G951" s="93">
        <v>7768130000</v>
      </c>
      <c r="H951" s="117">
        <v>0.47</v>
      </c>
      <c r="I951" s="117">
        <v>0</v>
      </c>
    </row>
    <row r="952" spans="1:9">
      <c r="A952" s="116">
        <v>6488</v>
      </c>
      <c r="B952" s="91">
        <v>1.47</v>
      </c>
      <c r="C952" s="92">
        <v>0.98785425101214575</v>
      </c>
      <c r="D952" s="94">
        <v>348299319.72789115</v>
      </c>
      <c r="E952" s="91">
        <f>VLOOKUP(6488,收盤價!A:C,3,0)</f>
        <v>73.2</v>
      </c>
      <c r="F952" s="93">
        <v>25495510204.081635</v>
      </c>
      <c r="G952" s="93">
        <v>16061674000</v>
      </c>
      <c r="H952" s="117">
        <v>1.59</v>
      </c>
      <c r="I952" s="117">
        <v>12.6</v>
      </c>
    </row>
    <row r="953" spans="1:9">
      <c r="A953" s="116">
        <v>4946</v>
      </c>
      <c r="B953" s="91">
        <v>-2.2599999999999998</v>
      </c>
      <c r="C953" s="92">
        <v>0.90476190476190477</v>
      </c>
      <c r="D953" s="94">
        <v>27433628.318584073</v>
      </c>
      <c r="E953" s="91">
        <f>VLOOKUP(4946,收盤價!A:C,3,0)</f>
        <v>48.1</v>
      </c>
      <c r="F953" s="93">
        <v>1319557522.123894</v>
      </c>
      <c r="G953" s="93">
        <v>561988000</v>
      </c>
      <c r="H953" s="117">
        <v>2.35</v>
      </c>
      <c r="I953" s="117">
        <v>0</v>
      </c>
    </row>
    <row r="954" spans="1:9">
      <c r="A954" s="116">
        <v>4947</v>
      </c>
      <c r="B954" s="91">
        <v>2.81</v>
      </c>
      <c r="C954" s="92">
        <v>0.8526785714285714</v>
      </c>
      <c r="D954" s="94">
        <v>44839857.651245549</v>
      </c>
      <c r="E954" s="91">
        <f>VLOOKUP(4947,收盤價!A:C,3,0)</f>
        <v>164</v>
      </c>
      <c r="F954" s="93">
        <v>7353736654.8042698</v>
      </c>
      <c r="G954" s="93">
        <v>2867922000</v>
      </c>
      <c r="H954" s="117">
        <v>2.56</v>
      </c>
      <c r="I954" s="117">
        <v>17.11</v>
      </c>
    </row>
    <row r="955" spans="1:9">
      <c r="A955" s="116">
        <v>4950</v>
      </c>
      <c r="B955" s="91">
        <v>-0.28000000000000003</v>
      </c>
      <c r="C955" s="92">
        <v>1</v>
      </c>
      <c r="D955" s="94">
        <v>53571428.571428567</v>
      </c>
      <c r="E955" s="91">
        <f>VLOOKUP(4950,收盤價!A:C,3,0)</f>
        <v>19.55</v>
      </c>
      <c r="F955" s="93">
        <v>1047321428.5714285</v>
      </c>
      <c r="G955" s="93">
        <v>316065000</v>
      </c>
      <c r="H955" s="117">
        <v>3.31</v>
      </c>
      <c r="I955" s="117">
        <v>0</v>
      </c>
    </row>
    <row r="956" spans="1:9">
      <c r="A956" s="116">
        <v>4952</v>
      </c>
      <c r="B956" s="91">
        <v>1.2</v>
      </c>
      <c r="C956" s="92">
        <v>1</v>
      </c>
      <c r="D956" s="94">
        <v>109166666.66666667</v>
      </c>
      <c r="E956" s="91">
        <f>VLOOKUP(4952,收盤價!A:C,3,0)</f>
        <v>33.049999999999997</v>
      </c>
      <c r="F956" s="93">
        <v>3607958333.333333</v>
      </c>
      <c r="G956" s="93">
        <v>2941309000</v>
      </c>
      <c r="H956" s="117">
        <v>1.23</v>
      </c>
      <c r="I956" s="117">
        <v>6.89</v>
      </c>
    </row>
    <row r="957" spans="1:9">
      <c r="A957" s="116">
        <v>4953</v>
      </c>
      <c r="B957" s="91">
        <v>0.52</v>
      </c>
      <c r="C957" s="92">
        <v>0.8571428571428571</v>
      </c>
      <c r="D957" s="94">
        <v>42307692.307692304</v>
      </c>
      <c r="E957" s="91">
        <f>VLOOKUP(4953,收盤價!A:C,3,0)</f>
        <v>24.9</v>
      </c>
      <c r="F957" s="93">
        <v>1053461538.4615383</v>
      </c>
      <c r="G957" s="93">
        <v>2569042000</v>
      </c>
      <c r="H957" s="117">
        <v>0.41</v>
      </c>
      <c r="I957" s="117">
        <v>13.97</v>
      </c>
    </row>
    <row r="958" spans="1:9">
      <c r="A958" s="116">
        <v>4956</v>
      </c>
      <c r="B958" s="91">
        <v>0.11</v>
      </c>
      <c r="C958" s="92">
        <v>1</v>
      </c>
      <c r="D958" s="94">
        <v>100000000</v>
      </c>
      <c r="E958" s="91">
        <f>VLOOKUP(4956,收盤價!A:C,3,0)</f>
        <v>12.55</v>
      </c>
      <c r="F958" s="93">
        <v>1255000000</v>
      </c>
      <c r="G958" s="93">
        <v>1510521000</v>
      </c>
      <c r="H958" s="117">
        <v>0.83</v>
      </c>
      <c r="I958" s="117">
        <v>28.52</v>
      </c>
    </row>
    <row r="959" spans="1:9">
      <c r="A959" s="116">
        <v>4958</v>
      </c>
      <c r="B959" s="91">
        <v>1.91</v>
      </c>
      <c r="C959" s="92">
        <v>0.78301237964236592</v>
      </c>
      <c r="D959" s="94">
        <v>802617801.04712045</v>
      </c>
      <c r="E959" s="91">
        <f>VLOOKUP(4958,收盤價!A:C,3,0)</f>
        <v>93.3</v>
      </c>
      <c r="F959" s="93">
        <v>74884240837.696335</v>
      </c>
      <c r="G959" s="93">
        <v>83453984000</v>
      </c>
      <c r="H959" s="117">
        <v>0.9</v>
      </c>
      <c r="I959" s="117">
        <v>15.6</v>
      </c>
    </row>
    <row r="960" spans="1:9">
      <c r="A960" s="116">
        <v>3686</v>
      </c>
      <c r="B960" s="91">
        <v>-0.45</v>
      </c>
      <c r="C960" s="92">
        <v>0.9965870307167235</v>
      </c>
      <c r="D960" s="94">
        <v>348888888.8888889</v>
      </c>
      <c r="E960" s="91">
        <f>VLOOKUP(3686,收盤價!A:C,3,0)</f>
        <v>8.5500000000000007</v>
      </c>
      <c r="F960" s="93">
        <v>2983000000.0000005</v>
      </c>
      <c r="G960" s="93">
        <v>1622668000</v>
      </c>
      <c r="H960" s="117">
        <v>1.84</v>
      </c>
      <c r="I960" s="117">
        <v>0</v>
      </c>
    </row>
    <row r="961" spans="1:9">
      <c r="A961" s="116">
        <v>4965</v>
      </c>
      <c r="B961" s="91">
        <v>0.6</v>
      </c>
      <c r="C961" s="92">
        <v>0.8571428571428571</v>
      </c>
      <c r="D961" s="94">
        <v>20000000</v>
      </c>
      <c r="E961" s="91">
        <f>VLOOKUP(4965,收盤價!A:C,3,0)</f>
        <v>143.5</v>
      </c>
      <c r="F961" s="93">
        <v>2870000000</v>
      </c>
      <c r="G961" s="93">
        <v>1217631000</v>
      </c>
      <c r="H961" s="117">
        <v>2.36</v>
      </c>
      <c r="I961" s="117">
        <v>69.760000000000005</v>
      </c>
    </row>
    <row r="962" spans="1:9">
      <c r="A962" s="116">
        <v>4966</v>
      </c>
      <c r="B962" s="91">
        <v>3.63</v>
      </c>
      <c r="C962" s="92">
        <v>0.99239543726235746</v>
      </c>
      <c r="D962" s="94">
        <v>74655647.382920116</v>
      </c>
      <c r="E962" s="91">
        <f>VLOOKUP(4966,收盤價!A:C,3,0)</f>
        <v>256</v>
      </c>
      <c r="F962" s="93">
        <v>19111845730.02755</v>
      </c>
      <c r="G962" s="93">
        <v>6459208000</v>
      </c>
      <c r="H962" s="117">
        <v>2.96</v>
      </c>
      <c r="I962" s="117">
        <v>17.77</v>
      </c>
    </row>
    <row r="963" spans="1:9">
      <c r="A963" s="116">
        <v>4971</v>
      </c>
      <c r="B963" s="91">
        <v>0.98</v>
      </c>
      <c r="C963" s="92">
        <v>1</v>
      </c>
      <c r="D963" s="94">
        <v>31632653.06122449</v>
      </c>
      <c r="E963" s="91">
        <f>VLOOKUP(4971,收盤價!A:C,3,0)</f>
        <v>107.5</v>
      </c>
      <c r="F963" s="93">
        <v>3400510204.0816326</v>
      </c>
      <c r="G963" s="93">
        <v>843978000</v>
      </c>
      <c r="H963" s="117">
        <v>4.03</v>
      </c>
      <c r="I963" s="117">
        <v>27.42</v>
      </c>
    </row>
    <row r="964" spans="1:9">
      <c r="A964" s="116">
        <v>4972</v>
      </c>
      <c r="B964" s="91">
        <v>0.99</v>
      </c>
      <c r="C964" s="92">
        <v>0.84905660377358494</v>
      </c>
      <c r="D964" s="94">
        <v>38383838.383838385</v>
      </c>
      <c r="E964" s="91">
        <f>VLOOKUP(4972,收盤價!A:C,3,0)</f>
        <v>39.200000000000003</v>
      </c>
      <c r="F964" s="93">
        <v>1504646464.6464648</v>
      </c>
      <c r="G964" s="93">
        <v>1288345000</v>
      </c>
      <c r="H964" s="117">
        <v>1.17</v>
      </c>
      <c r="I964" s="117">
        <v>11.66</v>
      </c>
    </row>
    <row r="965" spans="1:9">
      <c r="A965" s="116">
        <v>4973</v>
      </c>
      <c r="B965" s="91">
        <v>-0.55000000000000004</v>
      </c>
      <c r="C965" s="92">
        <v>0.375</v>
      </c>
      <c r="D965" s="94">
        <v>63636363.636363633</v>
      </c>
      <c r="E965" s="91">
        <f>VLOOKUP(4973,收盤價!A:C,3,0)</f>
        <v>17.2</v>
      </c>
      <c r="F965" s="93">
        <v>1094545454.5454545</v>
      </c>
      <c r="G965" s="93">
        <v>6242470000</v>
      </c>
      <c r="H965" s="117">
        <v>0.18</v>
      </c>
      <c r="I965" s="117">
        <v>0</v>
      </c>
    </row>
    <row r="966" spans="1:9">
      <c r="A966" s="116">
        <v>4974</v>
      </c>
      <c r="B966" s="91">
        <v>1.1100000000000001</v>
      </c>
      <c r="C966" s="92">
        <v>1</v>
      </c>
      <c r="D966" s="94">
        <v>62162162.162162155</v>
      </c>
      <c r="E966" s="91">
        <f>VLOOKUP(4974,收盤價!A:C,3,0)</f>
        <v>38.9</v>
      </c>
      <c r="F966" s="93">
        <v>2418108108.1081076</v>
      </c>
      <c r="G966" s="93">
        <v>3569230000</v>
      </c>
      <c r="H966" s="117">
        <v>0.68</v>
      </c>
      <c r="I966" s="117">
        <v>8.76</v>
      </c>
    </row>
    <row r="967" spans="1:9">
      <c r="A967" s="116">
        <v>4976</v>
      </c>
      <c r="B967" s="91">
        <v>-0.23</v>
      </c>
      <c r="C967" s="92">
        <v>1</v>
      </c>
      <c r="D967" s="94">
        <v>104347826.08695652</v>
      </c>
      <c r="E967" s="91">
        <f>VLOOKUP(4976,收盤價!A:C,3,0)</f>
        <v>16.649999999999999</v>
      </c>
      <c r="F967" s="93">
        <v>1737391304.3478258</v>
      </c>
      <c r="G967" s="93">
        <v>1328074000</v>
      </c>
      <c r="H967" s="117">
        <v>1.31</v>
      </c>
      <c r="I967" s="117">
        <v>0</v>
      </c>
    </row>
    <row r="968" spans="1:9">
      <c r="A968" s="116">
        <v>4977</v>
      </c>
      <c r="B968" s="91">
        <v>0.96</v>
      </c>
      <c r="C968" s="92">
        <v>0.75409836065573765</v>
      </c>
      <c r="D968" s="94">
        <v>53125000</v>
      </c>
      <c r="E968" s="91">
        <f>VLOOKUP(4977,收盤價!A:C,3,0)</f>
        <v>64.900000000000006</v>
      </c>
      <c r="F968" s="93">
        <v>3447812500.0000005</v>
      </c>
      <c r="G968" s="93">
        <v>1735914000</v>
      </c>
      <c r="H968" s="117">
        <v>1.99</v>
      </c>
      <c r="I968" s="117">
        <v>22.41</v>
      </c>
    </row>
    <row r="969" spans="1:9">
      <c r="A969" s="116">
        <v>4979</v>
      </c>
      <c r="B969" s="91">
        <v>1.63</v>
      </c>
      <c r="C969" s="92">
        <v>1</v>
      </c>
      <c r="D969" s="94">
        <v>66871165.644171782</v>
      </c>
      <c r="E969" s="91">
        <f>VLOOKUP(4979,收盤價!A:C,3,0)</f>
        <v>87</v>
      </c>
      <c r="F969" s="93">
        <v>5817791411.0429449</v>
      </c>
      <c r="G969" s="93">
        <v>3883184000</v>
      </c>
      <c r="H969" s="117">
        <v>1.5</v>
      </c>
      <c r="I969" s="117">
        <v>13.34</v>
      </c>
    </row>
    <row r="970" spans="1:9">
      <c r="A970" s="116">
        <v>4984</v>
      </c>
      <c r="B970" s="91">
        <v>0.42</v>
      </c>
      <c r="C970" s="92">
        <v>0.66666666666666663</v>
      </c>
      <c r="D970" s="94">
        <v>45238095.238095239</v>
      </c>
      <c r="E970" s="91">
        <f>VLOOKUP(4984,收盤價!A:C,3,0)</f>
        <v>35.1</v>
      </c>
      <c r="F970" s="93">
        <v>1587857142.8571429</v>
      </c>
      <c r="G970" s="93">
        <v>1131673000</v>
      </c>
      <c r="H970" s="117">
        <v>1.4</v>
      </c>
      <c r="I970" s="117">
        <v>31.34</v>
      </c>
    </row>
    <row r="971" spans="1:9">
      <c r="A971" s="116">
        <v>4987</v>
      </c>
      <c r="B971" s="91">
        <v>1.71</v>
      </c>
      <c r="C971" s="92">
        <v>1</v>
      </c>
      <c r="D971" s="94">
        <v>25146198.830409355</v>
      </c>
      <c r="E971" s="91">
        <f>VLOOKUP(4987,收盤價!A:C,3,0)</f>
        <v>67.2</v>
      </c>
      <c r="F971" s="93">
        <v>1689824561.4035087</v>
      </c>
      <c r="G971" s="93">
        <v>1188708000</v>
      </c>
      <c r="H971" s="117">
        <v>1.42</v>
      </c>
      <c r="I971" s="117">
        <v>9.82</v>
      </c>
    </row>
    <row r="972" spans="1:9">
      <c r="A972" s="116">
        <v>4991</v>
      </c>
      <c r="B972" s="91">
        <v>1.1599999999999999</v>
      </c>
      <c r="C972" s="92">
        <v>1</v>
      </c>
      <c r="D972" s="94">
        <v>44827586.206896558</v>
      </c>
      <c r="E972" s="91">
        <f>VLOOKUP(4991,收盤價!A:C,3,0)</f>
        <v>72.900000000000006</v>
      </c>
      <c r="F972" s="93">
        <v>3267931034.4827595</v>
      </c>
      <c r="G972" s="93">
        <v>1579333000</v>
      </c>
      <c r="H972" s="117">
        <v>2.0699999999999998</v>
      </c>
      <c r="I972" s="117">
        <v>15.71</v>
      </c>
    </row>
    <row r="973" spans="1:9">
      <c r="A973" s="116">
        <v>4994</v>
      </c>
      <c r="B973" s="91">
        <v>-0.51</v>
      </c>
      <c r="C973" s="92">
        <v>1</v>
      </c>
      <c r="D973" s="94">
        <v>88235294.117647052</v>
      </c>
      <c r="E973" s="91">
        <f>VLOOKUP(4994,收盤價!A:C,3,0)</f>
        <v>90.3</v>
      </c>
      <c r="F973" s="93">
        <v>7967647058.8235283</v>
      </c>
      <c r="G973" s="93">
        <v>1392671000</v>
      </c>
      <c r="H973" s="117">
        <v>5.72</v>
      </c>
      <c r="I973" s="117">
        <v>0</v>
      </c>
    </row>
    <row r="974" spans="1:9">
      <c r="A974" s="116">
        <v>4995</v>
      </c>
      <c r="B974" s="91">
        <v>0.75</v>
      </c>
      <c r="C974" s="92">
        <v>1</v>
      </c>
      <c r="D974" s="94">
        <v>34666666.666666664</v>
      </c>
      <c r="E974" s="91">
        <f>VLOOKUP(4995,收盤價!A:C,3,0)</f>
        <v>40.5</v>
      </c>
      <c r="F974" s="93">
        <v>1404000000</v>
      </c>
      <c r="G974" s="93">
        <v>826436000</v>
      </c>
      <c r="H974" s="117">
        <v>1.7</v>
      </c>
      <c r="I974" s="117">
        <v>13.5</v>
      </c>
    </row>
    <row r="975" spans="1:9">
      <c r="A975" s="116">
        <v>4999</v>
      </c>
      <c r="B975" s="91">
        <v>0.73</v>
      </c>
      <c r="C975" s="92">
        <v>1</v>
      </c>
      <c r="D975" s="94">
        <v>73972602.739726022</v>
      </c>
      <c r="E975" s="91">
        <f>VLOOKUP(4999,收盤價!A:C,3,0)</f>
        <v>45.4</v>
      </c>
      <c r="F975" s="93">
        <v>3358356164.3835611</v>
      </c>
      <c r="G975" s="93">
        <v>2154328000</v>
      </c>
      <c r="H975" s="117">
        <v>1.56</v>
      </c>
      <c r="I975" s="117">
        <v>15.55</v>
      </c>
    </row>
    <row r="976" spans="1:9">
      <c r="A976" s="116">
        <v>8404</v>
      </c>
      <c r="B976" s="91">
        <v>0.63</v>
      </c>
      <c r="C976" s="92">
        <v>0.86142322097378277</v>
      </c>
      <c r="D976" s="94">
        <v>223809523.80952382</v>
      </c>
      <c r="E976" s="91">
        <f>VLOOKUP(8404,收盤價!A:C,3,0)</f>
        <v>28.4</v>
      </c>
      <c r="F976" s="93">
        <v>6356190476.1904764</v>
      </c>
      <c r="G976" s="93">
        <v>3652904000</v>
      </c>
      <c r="H976" s="117">
        <v>1.74</v>
      </c>
      <c r="I976" s="117">
        <v>13.08</v>
      </c>
    </row>
    <row r="977" spans="1:9">
      <c r="A977" s="116">
        <v>2527</v>
      </c>
      <c r="B977" s="91">
        <v>1.4</v>
      </c>
      <c r="C977" s="92">
        <v>0.81818181818181823</v>
      </c>
      <c r="D977" s="94">
        <v>262857142.85714287</v>
      </c>
      <c r="E977" s="91">
        <f>VLOOKUP(2527,收盤價!A:C,3,0)</f>
        <v>17.350000000000001</v>
      </c>
      <c r="F977" s="93">
        <v>4560571428.5714293</v>
      </c>
      <c r="G977" s="93">
        <v>2845624000</v>
      </c>
      <c r="H977" s="117">
        <v>1.6</v>
      </c>
      <c r="I977" s="117">
        <v>3.79</v>
      </c>
    </row>
    <row r="978" spans="1:9">
      <c r="A978" s="116">
        <v>5011</v>
      </c>
      <c r="B978" s="91">
        <v>0.26</v>
      </c>
      <c r="C978" s="92">
        <v>0</v>
      </c>
      <c r="D978" s="94">
        <v>34615384.615384616</v>
      </c>
      <c r="E978" s="91">
        <f>VLOOKUP(5011,收盤價!A:C,3,0)</f>
        <v>0</v>
      </c>
      <c r="F978" s="93">
        <v>0</v>
      </c>
      <c r="G978" s="93">
        <v>913653000</v>
      </c>
      <c r="H978" s="117">
        <v>0</v>
      </c>
      <c r="I978" s="117">
        <v>0</v>
      </c>
    </row>
    <row r="979" spans="1:9">
      <c r="A979" s="116">
        <v>5013</v>
      </c>
      <c r="B979" s="91">
        <v>0.18</v>
      </c>
      <c r="C979" s="92">
        <v>1</v>
      </c>
      <c r="D979" s="94">
        <v>111111111.11111112</v>
      </c>
      <c r="E979" s="91">
        <f>VLOOKUP(5013,收盤價!A:C,3,0)</f>
        <v>15.55</v>
      </c>
      <c r="F979" s="93">
        <v>1727777777.7777779</v>
      </c>
      <c r="G979" s="93">
        <v>5453216000</v>
      </c>
      <c r="H979" s="117">
        <v>0.32</v>
      </c>
      <c r="I979" s="117">
        <v>21.6</v>
      </c>
    </row>
    <row r="980" spans="1:9">
      <c r="A980" s="116">
        <v>5014</v>
      </c>
      <c r="B980" s="91">
        <v>-0.1</v>
      </c>
      <c r="C980" s="92">
        <v>0</v>
      </c>
      <c r="D980" s="94">
        <v>160000000</v>
      </c>
      <c r="E980" s="91">
        <f>VLOOKUP(5014,收盤價!A:C,3,0)</f>
        <v>8.5399999999999991</v>
      </c>
      <c r="F980" s="93">
        <v>1366399999.9999998</v>
      </c>
      <c r="G980" s="93">
        <v>14494933000</v>
      </c>
      <c r="H980" s="117">
        <v>0.09</v>
      </c>
      <c r="I980" s="117">
        <v>0</v>
      </c>
    </row>
    <row r="981" spans="1:9">
      <c r="A981" s="116">
        <v>5015</v>
      </c>
      <c r="B981" s="91">
        <v>0.3</v>
      </c>
      <c r="C981" s="92">
        <v>1</v>
      </c>
      <c r="D981" s="94">
        <v>60000000</v>
      </c>
      <c r="E981" s="91">
        <f>VLOOKUP(5015,收盤價!A:C,3,0)</f>
        <v>15.95</v>
      </c>
      <c r="F981" s="93">
        <v>957000000</v>
      </c>
      <c r="G981" s="93">
        <v>2133169000</v>
      </c>
      <c r="H981" s="117">
        <v>0.45</v>
      </c>
      <c r="I981" s="117">
        <v>13.29</v>
      </c>
    </row>
    <row r="982" spans="1:9">
      <c r="A982" s="116">
        <v>5016</v>
      </c>
      <c r="B982" s="91">
        <v>0.21</v>
      </c>
      <c r="C982" s="92">
        <v>1</v>
      </c>
      <c r="D982" s="94">
        <v>47619047.619047619</v>
      </c>
      <c r="E982" s="91">
        <f>VLOOKUP(5016,收盤價!A:C,3,0)</f>
        <v>23.9</v>
      </c>
      <c r="F982" s="93">
        <v>1138095238.095238</v>
      </c>
      <c r="G982" s="93">
        <v>2446332000</v>
      </c>
      <c r="H982" s="117">
        <v>0.47</v>
      </c>
      <c r="I982" s="117">
        <v>28.45</v>
      </c>
    </row>
    <row r="983" spans="1:9">
      <c r="A983" s="116">
        <v>5102</v>
      </c>
      <c r="B983" s="91">
        <v>0.23</v>
      </c>
      <c r="C983" s="92">
        <v>0.68181818181818177</v>
      </c>
      <c r="D983" s="94">
        <v>60869565.217391305</v>
      </c>
      <c r="E983" s="91">
        <f>VLOOKUP(5102,收盤價!A:C,3,0)</f>
        <v>14.35</v>
      </c>
      <c r="F983" s="93">
        <v>873478260.86956525</v>
      </c>
      <c r="G983" s="93">
        <v>904932000</v>
      </c>
      <c r="H983" s="117">
        <v>0.97</v>
      </c>
      <c r="I983" s="117">
        <v>22.88</v>
      </c>
    </row>
    <row r="984" spans="1:9">
      <c r="A984" s="116">
        <v>5201</v>
      </c>
      <c r="B984" s="91">
        <v>-0.11</v>
      </c>
      <c r="C984" s="92">
        <v>0.42857142857142855</v>
      </c>
      <c r="D984" s="94">
        <v>27272727.272727273</v>
      </c>
      <c r="E984" s="91">
        <f>VLOOKUP(5201,收盤價!A:C,3,0)</f>
        <v>12.2</v>
      </c>
      <c r="F984" s="93">
        <v>332727272.72727269</v>
      </c>
      <c r="G984" s="93">
        <v>251478000</v>
      </c>
      <c r="H984" s="117">
        <v>1.32</v>
      </c>
      <c r="I984" s="117">
        <v>0</v>
      </c>
    </row>
    <row r="985" spans="1:9">
      <c r="A985" s="116">
        <v>5202</v>
      </c>
      <c r="B985" s="91">
        <v>0.16</v>
      </c>
      <c r="C985" s="92">
        <v>0</v>
      </c>
      <c r="D985" s="94">
        <v>56250000</v>
      </c>
      <c r="E985" s="91">
        <f>VLOOKUP(5202,收盤價!A:C,3,0)</f>
        <v>14.3</v>
      </c>
      <c r="F985" s="93">
        <v>804375000</v>
      </c>
      <c r="G985" s="93">
        <v>276533000</v>
      </c>
      <c r="H985" s="117">
        <v>2.91</v>
      </c>
      <c r="I985" s="117">
        <v>0</v>
      </c>
    </row>
    <row r="986" spans="1:9">
      <c r="A986" s="116">
        <v>5203</v>
      </c>
      <c r="B986" s="91">
        <v>1.25</v>
      </c>
      <c r="C986" s="92">
        <v>0.93162393162393164</v>
      </c>
      <c r="D986" s="94">
        <v>100800000</v>
      </c>
      <c r="E986" s="91">
        <f>VLOOKUP(5203,收盤價!A:C,3,0)</f>
        <v>70.400000000000006</v>
      </c>
      <c r="F986" s="93">
        <v>7096320000.000001</v>
      </c>
      <c r="G986" s="93">
        <v>1991700000</v>
      </c>
      <c r="H986" s="117">
        <v>3.56</v>
      </c>
      <c r="I986" s="117">
        <v>15.11</v>
      </c>
    </row>
    <row r="987" spans="1:9">
      <c r="A987" s="116">
        <v>5205</v>
      </c>
      <c r="B987" s="91">
        <v>-0.21</v>
      </c>
      <c r="C987" s="92">
        <v>1</v>
      </c>
      <c r="D987" s="94">
        <v>19047619.047619049</v>
      </c>
      <c r="E987" s="91">
        <f>VLOOKUP(5205,收盤價!A:C,3,0)</f>
        <v>0</v>
      </c>
      <c r="F987" s="93">
        <v>0</v>
      </c>
      <c r="G987" s="93">
        <v>3659000</v>
      </c>
      <c r="H987" s="117">
        <v>0</v>
      </c>
      <c r="I987" s="117">
        <v>0</v>
      </c>
    </row>
    <row r="988" spans="1:9">
      <c r="A988" s="116">
        <v>5206</v>
      </c>
      <c r="B988" s="91">
        <v>0.42</v>
      </c>
      <c r="C988" s="92">
        <v>0.41935483870967744</v>
      </c>
      <c r="D988" s="94">
        <v>150000000</v>
      </c>
      <c r="E988" s="91">
        <f>VLOOKUP(5206,收盤價!A:C,3,0)</f>
        <v>12</v>
      </c>
      <c r="F988" s="93">
        <v>1800000000</v>
      </c>
      <c r="G988" s="93">
        <v>959872000</v>
      </c>
      <c r="H988" s="117">
        <v>1.88</v>
      </c>
      <c r="I988" s="117">
        <v>17.03</v>
      </c>
    </row>
    <row r="989" spans="1:9">
      <c r="A989" s="116">
        <v>5209</v>
      </c>
      <c r="B989" s="91">
        <v>0.82</v>
      </c>
      <c r="C989" s="92">
        <v>1</v>
      </c>
      <c r="D989" s="94">
        <v>23170731.707317073</v>
      </c>
      <c r="E989" s="91">
        <f>VLOOKUP(5209,收盤價!A:C,3,0)</f>
        <v>44.45</v>
      </c>
      <c r="F989" s="93">
        <v>1029939024.390244</v>
      </c>
      <c r="G989" s="93">
        <v>1530130000</v>
      </c>
      <c r="H989" s="117">
        <v>0.67</v>
      </c>
      <c r="I989" s="117">
        <v>13.55</v>
      </c>
    </row>
    <row r="990" spans="1:9">
      <c r="A990" s="116">
        <v>5210</v>
      </c>
      <c r="B990" s="91">
        <v>0.28000000000000003</v>
      </c>
      <c r="C990" s="92">
        <v>1</v>
      </c>
      <c r="D990" s="94">
        <v>67857142.857142851</v>
      </c>
      <c r="E990" s="91">
        <f>VLOOKUP(5210,收盤價!A:C,3,0)</f>
        <v>7.3</v>
      </c>
      <c r="F990" s="93">
        <v>495357142.85714281</v>
      </c>
      <c r="G990" s="93">
        <v>318677000</v>
      </c>
      <c r="H990" s="117">
        <v>1.55</v>
      </c>
      <c r="I990" s="117">
        <v>6.52</v>
      </c>
    </row>
    <row r="991" spans="1:9">
      <c r="A991" s="116">
        <v>5211</v>
      </c>
      <c r="B991" s="91">
        <v>0.13</v>
      </c>
      <c r="C991" s="92">
        <v>0.7142857142857143</v>
      </c>
      <c r="D991" s="94">
        <v>30769230.769230768</v>
      </c>
      <c r="E991" s="91">
        <f>VLOOKUP(5211,收盤價!A:C,3,0)</f>
        <v>24.45</v>
      </c>
      <c r="F991" s="93">
        <v>752307692.30769229</v>
      </c>
      <c r="G991" s="93">
        <v>268586000</v>
      </c>
      <c r="H991" s="117">
        <v>2.8</v>
      </c>
      <c r="I991" s="117">
        <v>65.83</v>
      </c>
    </row>
    <row r="992" spans="1:9">
      <c r="A992" s="116">
        <v>5212</v>
      </c>
      <c r="B992" s="91">
        <v>0.28999999999999998</v>
      </c>
      <c r="C992" s="92">
        <v>0.5</v>
      </c>
      <c r="D992" s="94">
        <v>34482758.62068966</v>
      </c>
      <c r="E992" s="91">
        <f>VLOOKUP(5212,收盤價!A:C,3,0)</f>
        <v>18.3</v>
      </c>
      <c r="F992" s="93">
        <v>631034482.75862086</v>
      </c>
      <c r="G992" s="93">
        <v>636057000</v>
      </c>
      <c r="H992" s="117">
        <v>0.99</v>
      </c>
      <c r="I992" s="117">
        <v>31.55</v>
      </c>
    </row>
    <row r="993" spans="1:9">
      <c r="A993" s="116">
        <v>3264</v>
      </c>
      <c r="B993" s="91">
        <v>0.46</v>
      </c>
      <c r="C993" s="92">
        <v>1</v>
      </c>
      <c r="D993" s="94">
        <v>456521739.13043475</v>
      </c>
      <c r="E993" s="91">
        <f>VLOOKUP(3264,收盤價!A:C,3,0)</f>
        <v>24.15</v>
      </c>
      <c r="F993" s="93">
        <v>11024999999.999998</v>
      </c>
      <c r="G993" s="93">
        <v>6161575000</v>
      </c>
      <c r="H993" s="117">
        <v>1.79</v>
      </c>
      <c r="I993" s="117">
        <v>13.12</v>
      </c>
    </row>
    <row r="994" spans="1:9">
      <c r="A994" s="116">
        <v>5215</v>
      </c>
      <c r="B994" s="91">
        <v>1.06</v>
      </c>
      <c r="C994" s="92">
        <v>0.83653846153846156</v>
      </c>
      <c r="D994" s="94">
        <v>54716981.132075466</v>
      </c>
      <c r="E994" s="91">
        <f>VLOOKUP(5215,收盤價!A:C,3,0)</f>
        <v>38.9</v>
      </c>
      <c r="F994" s="93">
        <v>2128490566.0377355</v>
      </c>
      <c r="G994" s="93">
        <v>1849182000</v>
      </c>
      <c r="H994" s="117">
        <v>1.1499999999999999</v>
      </c>
      <c r="I994" s="117">
        <v>10.97</v>
      </c>
    </row>
    <row r="995" spans="1:9">
      <c r="A995" s="116">
        <v>5225</v>
      </c>
      <c r="B995" s="91">
        <v>0.18</v>
      </c>
      <c r="C995" s="92">
        <v>0</v>
      </c>
      <c r="D995" s="94">
        <v>61111111.111111112</v>
      </c>
      <c r="E995" s="91">
        <f>VLOOKUP(5225,收盤價!A:C,3,0)</f>
        <v>49.7</v>
      </c>
      <c r="F995" s="93">
        <v>3037222222.2222223</v>
      </c>
      <c r="G995" s="93">
        <v>7314571000</v>
      </c>
      <c r="H995" s="117">
        <v>0.42</v>
      </c>
      <c r="I995" s="117">
        <v>0</v>
      </c>
    </row>
    <row r="996" spans="1:9">
      <c r="A996" s="116">
        <v>5227</v>
      </c>
      <c r="B996" s="91">
        <v>-0.93</v>
      </c>
      <c r="C996" s="92">
        <v>0.88172043010752688</v>
      </c>
      <c r="D996" s="94">
        <v>164516129.03225806</v>
      </c>
      <c r="E996" s="91">
        <f>VLOOKUP(5227,收盤價!A:C,3,0)</f>
        <v>33</v>
      </c>
      <c r="F996" s="93">
        <v>5429032258.0645161</v>
      </c>
      <c r="G996" s="93">
        <v>1125238000</v>
      </c>
      <c r="H996" s="117">
        <v>4.82</v>
      </c>
      <c r="I996" s="117">
        <v>0</v>
      </c>
    </row>
    <row r="997" spans="1:9">
      <c r="A997" s="116">
        <v>5230</v>
      </c>
      <c r="B997" s="91">
        <v>1.06</v>
      </c>
      <c r="C997" s="92">
        <v>1</v>
      </c>
      <c r="D997" s="94">
        <v>45283018.867924526</v>
      </c>
      <c r="E997" s="91">
        <f>VLOOKUP(5230,收盤價!A:C,3,0)</f>
        <v>54.6</v>
      </c>
      <c r="F997" s="93">
        <v>2472452830.1886792</v>
      </c>
      <c r="G997" s="93">
        <v>1376591000</v>
      </c>
      <c r="H997" s="117">
        <v>1.8</v>
      </c>
      <c r="I997" s="117">
        <v>12.88</v>
      </c>
    </row>
    <row r="998" spans="1:9">
      <c r="A998" s="116">
        <v>5234</v>
      </c>
      <c r="B998" s="91">
        <v>0.67</v>
      </c>
      <c r="C998" s="92">
        <v>1</v>
      </c>
      <c r="D998" s="94">
        <v>94029850.746268645</v>
      </c>
      <c r="E998" s="91">
        <f>VLOOKUP(5234,收盤價!A:C,3,0)</f>
        <v>32.25</v>
      </c>
      <c r="F998" s="93">
        <v>3032462686.5671639</v>
      </c>
      <c r="G998" s="93">
        <v>3444732000</v>
      </c>
      <c r="H998" s="117">
        <v>0.88</v>
      </c>
      <c r="I998" s="117">
        <v>12.03</v>
      </c>
    </row>
    <row r="999" spans="1:9">
      <c r="A999" s="116">
        <v>5243</v>
      </c>
      <c r="B999" s="91">
        <v>0.41</v>
      </c>
      <c r="C999" s="92">
        <v>0.95862068965517244</v>
      </c>
      <c r="D999" s="94">
        <v>180487804.87804878</v>
      </c>
      <c r="E999" s="91">
        <f>VLOOKUP(5243,收盤價!A:C,3,0)</f>
        <v>32.6</v>
      </c>
      <c r="F999" s="93">
        <v>5883902439.0243902</v>
      </c>
      <c r="G999" s="93">
        <v>8823370000</v>
      </c>
      <c r="H999" s="117">
        <v>0.67</v>
      </c>
      <c r="I999" s="117">
        <v>20.74</v>
      </c>
    </row>
    <row r="1000" spans="1:9">
      <c r="A1000" s="116">
        <v>5245</v>
      </c>
      <c r="B1000" s="91">
        <v>0.66</v>
      </c>
      <c r="C1000" s="92">
        <v>1</v>
      </c>
      <c r="D1000" s="94">
        <v>37878787.878787875</v>
      </c>
      <c r="E1000" s="91">
        <f>VLOOKUP(5245,收盤價!A:C,3,0)</f>
        <v>82.3</v>
      </c>
      <c r="F1000" s="93">
        <v>3117424242.424242</v>
      </c>
      <c r="G1000" s="93">
        <v>1060633000</v>
      </c>
      <c r="H1000" s="117">
        <v>2.94</v>
      </c>
      <c r="I1000" s="117">
        <v>31.17</v>
      </c>
    </row>
    <row r="1001" spans="1:9">
      <c r="A1001" s="116">
        <v>5251</v>
      </c>
      <c r="B1001" s="91">
        <v>0.5</v>
      </c>
      <c r="C1001" s="92">
        <v>0.42499999999999999</v>
      </c>
      <c r="D1001" s="94">
        <v>30000000</v>
      </c>
      <c r="E1001" s="91">
        <f>VLOOKUP(5251,收盤價!A:C,3,0)</f>
        <v>35.049999999999997</v>
      </c>
      <c r="F1001" s="93">
        <v>1051499999.9999999</v>
      </c>
      <c r="G1001" s="93">
        <v>750718000</v>
      </c>
      <c r="H1001" s="117">
        <v>1.4</v>
      </c>
      <c r="I1001" s="117">
        <v>41.24</v>
      </c>
    </row>
    <row r="1002" spans="1:9">
      <c r="A1002" s="116">
        <v>5255</v>
      </c>
      <c r="B1002" s="91">
        <v>0.05</v>
      </c>
      <c r="C1002" s="92">
        <v>1</v>
      </c>
      <c r="D1002" s="94">
        <v>40000000</v>
      </c>
      <c r="E1002" s="91">
        <f>VLOOKUP(5255,收盤價!A:C,3,0)</f>
        <v>19.3</v>
      </c>
      <c r="F1002" s="93">
        <v>772000000</v>
      </c>
      <c r="G1002" s="93">
        <v>1145408000</v>
      </c>
      <c r="H1002" s="117">
        <v>0.67</v>
      </c>
      <c r="I1002" s="117">
        <v>96.5</v>
      </c>
    </row>
    <row r="1003" spans="1:9">
      <c r="A1003" s="116">
        <v>5263</v>
      </c>
      <c r="B1003" s="91">
        <v>0.9</v>
      </c>
      <c r="C1003" s="92">
        <v>1</v>
      </c>
      <c r="D1003" s="94">
        <v>43333333.333333336</v>
      </c>
      <c r="E1003" s="91">
        <f>VLOOKUP(5263,收盤價!A:C,3,0)</f>
        <v>286</v>
      </c>
      <c r="F1003" s="93">
        <v>12393333333.333334</v>
      </c>
      <c r="G1003" s="93">
        <v>578490000</v>
      </c>
      <c r="H1003" s="117">
        <v>21.42</v>
      </c>
      <c r="I1003" s="117">
        <v>79.44</v>
      </c>
    </row>
    <row r="1004" spans="1:9">
      <c r="A1004" s="116">
        <v>5533</v>
      </c>
      <c r="B1004" s="91">
        <v>0.3</v>
      </c>
      <c r="C1004" s="92">
        <v>1</v>
      </c>
      <c r="D1004" s="94">
        <v>270000000</v>
      </c>
      <c r="E1004" s="91">
        <f>VLOOKUP(5533,收盤價!A:C,3,0)</f>
        <v>16.95</v>
      </c>
      <c r="F1004" s="93">
        <v>4576500000</v>
      </c>
      <c r="G1004" s="93">
        <v>2807841000</v>
      </c>
      <c r="H1004" s="117">
        <v>1.63</v>
      </c>
      <c r="I1004" s="117">
        <v>14.12</v>
      </c>
    </row>
    <row r="1005" spans="1:9">
      <c r="A1005" s="116">
        <v>5266</v>
      </c>
      <c r="B1005" s="91">
        <v>1.97</v>
      </c>
      <c r="C1005" s="92">
        <v>1</v>
      </c>
      <c r="D1005" s="94">
        <v>31979695.431472082</v>
      </c>
      <c r="E1005" s="91">
        <f>VLOOKUP(5266,收盤價!A:C,3,0)</f>
        <v>54.6</v>
      </c>
      <c r="F1005" s="93">
        <v>1746091370.5583756</v>
      </c>
      <c r="G1005" s="93">
        <v>1077179000</v>
      </c>
      <c r="H1005" s="117">
        <v>1.62</v>
      </c>
      <c r="I1005" s="117">
        <v>6.93</v>
      </c>
    </row>
    <row r="1006" spans="1:9">
      <c r="A1006" s="116">
        <v>5269</v>
      </c>
      <c r="B1006" s="91">
        <v>0.12</v>
      </c>
      <c r="C1006" s="92">
        <v>1</v>
      </c>
      <c r="D1006" s="94">
        <v>58333333.333333336</v>
      </c>
      <c r="E1006" s="91">
        <f>VLOOKUP(5269,收盤價!A:C,3,0)</f>
        <v>176.5</v>
      </c>
      <c r="F1006" s="93">
        <v>10295833333.333334</v>
      </c>
      <c r="G1006" s="93">
        <v>1397806000</v>
      </c>
      <c r="H1006" s="117">
        <v>7.37</v>
      </c>
      <c r="I1006" s="117">
        <v>367.71</v>
      </c>
    </row>
    <row r="1007" spans="1:9">
      <c r="A1007" s="116">
        <v>5272</v>
      </c>
      <c r="B1007" s="91">
        <v>0.28000000000000003</v>
      </c>
      <c r="C1007" s="92">
        <v>0.97058823529411764</v>
      </c>
      <c r="D1007" s="94">
        <v>49999999.999999993</v>
      </c>
      <c r="E1007" s="91">
        <f>VLOOKUP(5272,收盤價!A:C,3,0)</f>
        <v>46.25</v>
      </c>
      <c r="F1007" s="93">
        <v>2312499999.9999995</v>
      </c>
      <c r="G1007" s="93">
        <v>650197000</v>
      </c>
      <c r="H1007" s="117">
        <v>3.56</v>
      </c>
      <c r="I1007" s="117">
        <v>42.55</v>
      </c>
    </row>
    <row r="1008" spans="1:9">
      <c r="A1008" s="116">
        <v>5274</v>
      </c>
      <c r="B1008" s="91">
        <v>2.34</v>
      </c>
      <c r="C1008" s="92">
        <v>1</v>
      </c>
      <c r="D1008" s="94">
        <v>26068376.068376072</v>
      </c>
      <c r="E1008" s="91">
        <f>VLOOKUP(5274,收盤價!A:C,3,0)</f>
        <v>331.5</v>
      </c>
      <c r="F1008" s="93">
        <v>8641666666.6666679</v>
      </c>
      <c r="G1008" s="93">
        <v>971422000</v>
      </c>
      <c r="H1008" s="117">
        <v>8.9</v>
      </c>
      <c r="I1008" s="117">
        <v>35.42</v>
      </c>
    </row>
    <row r="1009" spans="1:9">
      <c r="A1009" s="116">
        <v>5276</v>
      </c>
      <c r="B1009" s="91">
        <v>0.42</v>
      </c>
      <c r="C1009" s="92">
        <v>1</v>
      </c>
      <c r="D1009" s="94">
        <v>38095238.095238097</v>
      </c>
      <c r="E1009" s="91">
        <f>VLOOKUP(5276,收盤價!A:C,3,0)</f>
        <v>20.5</v>
      </c>
      <c r="F1009" s="93">
        <v>780952380.95238101</v>
      </c>
      <c r="G1009" s="93">
        <v>857204000</v>
      </c>
      <c r="H1009" s="117">
        <v>0.91</v>
      </c>
      <c r="I1009" s="117">
        <v>12.2</v>
      </c>
    </row>
    <row r="1010" spans="1:9">
      <c r="A1010" s="116">
        <v>5278</v>
      </c>
      <c r="B1010" s="91">
        <v>-0.39</v>
      </c>
      <c r="C1010" s="92">
        <v>0.9375</v>
      </c>
      <c r="D1010" s="94">
        <v>12820512.82051282</v>
      </c>
      <c r="E1010" s="91">
        <f>VLOOKUP(5278,收盤價!A:C,3,0)</f>
        <v>30.35</v>
      </c>
      <c r="F1010" s="93">
        <v>389102564.1025641</v>
      </c>
      <c r="G1010" s="93">
        <v>224719000</v>
      </c>
      <c r="H1010" s="117">
        <v>1.73</v>
      </c>
      <c r="I1010" s="117">
        <v>0</v>
      </c>
    </row>
    <row r="1011" spans="1:9">
      <c r="A1011" s="116">
        <v>5284</v>
      </c>
      <c r="B1011" s="91">
        <v>1.41</v>
      </c>
      <c r="C1011" s="92">
        <v>1</v>
      </c>
      <c r="D1011" s="94">
        <v>34042553.191489361</v>
      </c>
      <c r="E1011" s="91">
        <f>VLOOKUP(5284,收盤價!A:C,3,0)</f>
        <v>65.3</v>
      </c>
      <c r="F1011" s="93">
        <v>2222978723.4042554</v>
      </c>
      <c r="G1011" s="93">
        <v>1140718000</v>
      </c>
      <c r="H1011" s="117">
        <v>1.95</v>
      </c>
      <c r="I1011" s="117">
        <v>11.58</v>
      </c>
    </row>
    <row r="1012" spans="1:9">
      <c r="A1012" s="116">
        <v>5285</v>
      </c>
      <c r="B1012" s="91">
        <v>0.5</v>
      </c>
      <c r="C1012" s="92">
        <v>1</v>
      </c>
      <c r="D1012" s="94">
        <v>68000000</v>
      </c>
      <c r="E1012" s="91">
        <f>VLOOKUP(5285,收盤價!A:C,3,0)</f>
        <v>31.35</v>
      </c>
      <c r="F1012" s="93">
        <v>2131800000</v>
      </c>
      <c r="G1012" s="93">
        <v>2375502000</v>
      </c>
      <c r="H1012" s="117">
        <v>0.9</v>
      </c>
      <c r="I1012" s="117">
        <v>15.68</v>
      </c>
    </row>
    <row r="1013" spans="1:9">
      <c r="A1013" s="116">
        <v>5287</v>
      </c>
      <c r="B1013" s="91">
        <v>3.52</v>
      </c>
      <c r="C1013" s="92">
        <v>0.93886462882096067</v>
      </c>
      <c r="D1013" s="94">
        <v>40909090.909090906</v>
      </c>
      <c r="E1013" s="91">
        <f>VLOOKUP(5287,收盤價!A:C,3,0)</f>
        <v>312.5</v>
      </c>
      <c r="F1013" s="93">
        <v>12784090909.090908</v>
      </c>
      <c r="G1013" s="93">
        <v>1340618000</v>
      </c>
      <c r="H1013" s="117">
        <v>9.5399999999999991</v>
      </c>
      <c r="I1013" s="117">
        <v>23.64</v>
      </c>
    </row>
    <row r="1014" spans="1:9">
      <c r="A1014" s="116">
        <v>5288</v>
      </c>
      <c r="B1014" s="91">
        <v>1.22</v>
      </c>
      <c r="C1014" s="92">
        <v>0.87301587301587302</v>
      </c>
      <c r="D1014" s="94">
        <v>64754098.36065574</v>
      </c>
      <c r="E1014" s="91">
        <f>VLOOKUP(5288,收盤價!A:C,3,0)</f>
        <v>94.6</v>
      </c>
      <c r="F1014" s="93">
        <v>6125737704.9180326</v>
      </c>
      <c r="G1014" s="93">
        <v>3904119000</v>
      </c>
      <c r="H1014" s="117">
        <v>1.57</v>
      </c>
      <c r="I1014" s="117">
        <v>22.2</v>
      </c>
    </row>
    <row r="1015" spans="1:9">
      <c r="A1015" s="116">
        <v>5289</v>
      </c>
      <c r="B1015" s="91">
        <v>1.91</v>
      </c>
      <c r="C1015" s="92">
        <v>1</v>
      </c>
      <c r="D1015" s="94">
        <v>59162303.66492147</v>
      </c>
      <c r="E1015" s="91">
        <f>VLOOKUP(5289,收盤價!A:C,3,0)</f>
        <v>92.8</v>
      </c>
      <c r="F1015" s="93">
        <v>5490261780.1047125</v>
      </c>
      <c r="G1015" s="93">
        <v>4146681000</v>
      </c>
      <c r="H1015" s="117">
        <v>1.32</v>
      </c>
      <c r="I1015" s="117">
        <v>12.15</v>
      </c>
    </row>
    <row r="1016" spans="1:9">
      <c r="A1016" s="116">
        <v>5291</v>
      </c>
      <c r="B1016" s="91">
        <v>0.04</v>
      </c>
      <c r="C1016" s="92">
        <v>1</v>
      </c>
      <c r="D1016" s="94">
        <v>50000000</v>
      </c>
      <c r="E1016" s="91">
        <f>VLOOKUP(5291,收盤價!A:C,3,0)</f>
        <v>17.05</v>
      </c>
      <c r="F1016" s="93">
        <v>852500000</v>
      </c>
      <c r="G1016" s="93">
        <v>1074411000</v>
      </c>
      <c r="H1016" s="117">
        <v>0.79</v>
      </c>
      <c r="I1016" s="117">
        <v>106.56</v>
      </c>
    </row>
    <row r="1017" spans="1:9">
      <c r="A1017" s="116">
        <v>5301</v>
      </c>
      <c r="B1017" s="91">
        <v>0.35</v>
      </c>
      <c r="C1017" s="92">
        <v>0.76623376623376627</v>
      </c>
      <c r="D1017" s="94">
        <v>82857142.857142866</v>
      </c>
      <c r="E1017" s="91">
        <f>VLOOKUP(5301,收盤價!A:C,3,0)</f>
        <v>43</v>
      </c>
      <c r="F1017" s="93">
        <v>3562857142.8571434</v>
      </c>
      <c r="G1017" s="93">
        <v>2232001000</v>
      </c>
      <c r="H1017" s="117">
        <v>1.6</v>
      </c>
      <c r="I1017" s="117">
        <v>40.08</v>
      </c>
    </row>
    <row r="1018" spans="1:9">
      <c r="A1018" s="116">
        <v>5302</v>
      </c>
      <c r="B1018" s="91">
        <v>-0.04</v>
      </c>
      <c r="C1018" s="92">
        <v>1</v>
      </c>
      <c r="D1018" s="94">
        <v>175000000</v>
      </c>
      <c r="E1018" s="91">
        <f>VLOOKUP(5302,收盤價!A:C,3,0)</f>
        <v>5.64</v>
      </c>
      <c r="F1018" s="93">
        <v>987000000</v>
      </c>
      <c r="G1018" s="93">
        <v>220171000</v>
      </c>
      <c r="H1018" s="117">
        <v>4.4800000000000004</v>
      </c>
      <c r="I1018" s="117">
        <v>0</v>
      </c>
    </row>
    <row r="1019" spans="1:9">
      <c r="A1019" s="116">
        <v>5304</v>
      </c>
      <c r="B1019" s="91">
        <v>-0.38</v>
      </c>
      <c r="C1019" s="92">
        <v>0.3141025641025641</v>
      </c>
      <c r="D1019" s="94">
        <v>186842105.2631579</v>
      </c>
      <c r="E1019" s="91">
        <f>VLOOKUP(5304,收盤價!A:C,3,0)</f>
        <v>3.37</v>
      </c>
      <c r="F1019" s="93">
        <v>629657894.73684216</v>
      </c>
      <c r="G1019" s="93">
        <v>770972000</v>
      </c>
      <c r="H1019" s="117">
        <v>0.82</v>
      </c>
      <c r="I1019" s="117">
        <v>0</v>
      </c>
    </row>
    <row r="1020" spans="1:9">
      <c r="A1020" s="116">
        <v>2441</v>
      </c>
      <c r="B1020" s="91">
        <v>0.88</v>
      </c>
      <c r="C1020" s="92">
        <v>0.99198396793587174</v>
      </c>
      <c r="D1020" s="94">
        <v>569318181.81818187</v>
      </c>
      <c r="E1020" s="91">
        <f>VLOOKUP(2441,收盤價!A:C,3,0)</f>
        <v>31.2</v>
      </c>
      <c r="F1020" s="93">
        <v>17762727272.727276</v>
      </c>
      <c r="G1020" s="93">
        <v>9596439000</v>
      </c>
      <c r="H1020" s="117">
        <v>1.85</v>
      </c>
      <c r="I1020" s="117">
        <v>8.94</v>
      </c>
    </row>
    <row r="1021" spans="1:9">
      <c r="A1021" s="116">
        <v>5306</v>
      </c>
      <c r="B1021" s="91">
        <v>1.2</v>
      </c>
      <c r="C1021" s="92">
        <v>0.98684210526315785</v>
      </c>
      <c r="D1021" s="94">
        <v>109166666.66666667</v>
      </c>
      <c r="E1021" s="91">
        <f>VLOOKUP(5306,收盤價!A:C,3,0)</f>
        <v>129.5</v>
      </c>
      <c r="F1021" s="93">
        <v>14137083333.333334</v>
      </c>
      <c r="G1021" s="93">
        <v>3213806000</v>
      </c>
      <c r="H1021" s="117">
        <v>4.4000000000000004</v>
      </c>
      <c r="I1021" s="117">
        <v>27.34</v>
      </c>
    </row>
    <row r="1022" spans="1:9">
      <c r="A1022" s="116">
        <v>5309</v>
      </c>
      <c r="B1022" s="91">
        <v>4.16</v>
      </c>
      <c r="C1022" s="92">
        <v>0</v>
      </c>
      <c r="D1022" s="94">
        <v>191826923.07692307</v>
      </c>
      <c r="E1022" s="91">
        <f>VLOOKUP(5309,收盤價!A:C,3,0)</f>
        <v>15.7</v>
      </c>
      <c r="F1022" s="93">
        <v>3011682692.3076921</v>
      </c>
      <c r="G1022" s="93">
        <v>1740174000</v>
      </c>
      <c r="H1022" s="117">
        <v>1.73</v>
      </c>
      <c r="I1022" s="117">
        <v>0</v>
      </c>
    </row>
    <row r="1023" spans="1:9">
      <c r="A1023" s="116">
        <v>5310</v>
      </c>
      <c r="B1023" s="91">
        <v>-0.02</v>
      </c>
      <c r="C1023" s="92">
        <v>0.5</v>
      </c>
      <c r="D1023" s="94">
        <v>50000000</v>
      </c>
      <c r="E1023" s="91">
        <f>VLOOKUP(5310,收盤價!A:C,3,0)</f>
        <v>26.15</v>
      </c>
      <c r="F1023" s="93">
        <v>1307500000</v>
      </c>
      <c r="G1023" s="93">
        <v>271705000</v>
      </c>
      <c r="H1023" s="117">
        <v>4.8099999999999996</v>
      </c>
      <c r="I1023" s="117">
        <v>0</v>
      </c>
    </row>
    <row r="1024" spans="1:9">
      <c r="A1024" s="116">
        <v>5312</v>
      </c>
      <c r="B1024" s="91">
        <v>1.45</v>
      </c>
      <c r="C1024" s="92">
        <v>0.12972972972972974</v>
      </c>
      <c r="D1024" s="94">
        <v>60000000</v>
      </c>
      <c r="E1024" s="91">
        <f>VLOOKUP(5312,收盤價!A:C,3,0)</f>
        <v>76</v>
      </c>
      <c r="F1024" s="93">
        <v>4560000000</v>
      </c>
      <c r="G1024" s="93">
        <v>2507532000</v>
      </c>
      <c r="H1024" s="117">
        <v>1.82</v>
      </c>
      <c r="I1024" s="117">
        <v>101.01</v>
      </c>
    </row>
    <row r="1025" spans="1:9">
      <c r="A1025" s="116">
        <v>5314</v>
      </c>
      <c r="B1025" s="91">
        <v>-0.27</v>
      </c>
      <c r="C1025" s="92">
        <v>0.94117647058823528</v>
      </c>
      <c r="D1025" s="94">
        <v>59259259.259259254</v>
      </c>
      <c r="E1025" s="91">
        <f>VLOOKUP(5314,收盤價!A:C,3,0)</f>
        <v>7.05</v>
      </c>
      <c r="F1025" s="93">
        <v>417777777.77777773</v>
      </c>
      <c r="G1025" s="93">
        <v>174344000</v>
      </c>
      <c r="H1025" s="117">
        <v>2.4</v>
      </c>
      <c r="I1025" s="117">
        <v>0</v>
      </c>
    </row>
    <row r="1026" spans="1:9">
      <c r="A1026" s="116">
        <v>5315</v>
      </c>
      <c r="B1026" s="91">
        <v>0.56000000000000005</v>
      </c>
      <c r="C1026" s="92">
        <v>1</v>
      </c>
      <c r="D1026" s="94">
        <v>107142857.14285713</v>
      </c>
      <c r="E1026" s="91">
        <f>VLOOKUP(5315,收盤價!A:C,3,0)</f>
        <v>23.95</v>
      </c>
      <c r="F1026" s="93">
        <v>2566071428.5714283</v>
      </c>
      <c r="G1026" s="93">
        <v>2556258000</v>
      </c>
      <c r="H1026" s="117">
        <v>1</v>
      </c>
      <c r="I1026" s="117">
        <v>10.69</v>
      </c>
    </row>
    <row r="1027" spans="1:9">
      <c r="A1027" s="116">
        <v>5317</v>
      </c>
      <c r="B1027" s="91">
        <v>0.1</v>
      </c>
      <c r="C1027" s="92">
        <v>0.77777777777777779</v>
      </c>
      <c r="D1027" s="94">
        <v>130000000</v>
      </c>
      <c r="E1027" s="91">
        <f>VLOOKUP(5317,收盤價!A:C,3,0)</f>
        <v>14.1</v>
      </c>
      <c r="F1027" s="93">
        <v>1833000000</v>
      </c>
      <c r="G1027" s="93">
        <v>1660877000</v>
      </c>
      <c r="H1027" s="117">
        <v>1.1000000000000001</v>
      </c>
      <c r="I1027" s="117">
        <v>45.32</v>
      </c>
    </row>
    <row r="1028" spans="1:9">
      <c r="A1028" s="116">
        <v>5321</v>
      </c>
      <c r="B1028" s="91">
        <v>0.06</v>
      </c>
      <c r="C1028" s="92">
        <v>1</v>
      </c>
      <c r="D1028" s="94">
        <v>33333333.333333336</v>
      </c>
      <c r="E1028" s="91">
        <f>VLOOKUP(5321,收盤價!A:C,3,0)</f>
        <v>0</v>
      </c>
      <c r="F1028" s="93">
        <v>0</v>
      </c>
      <c r="G1028" s="93">
        <v>1266141000</v>
      </c>
      <c r="H1028" s="117">
        <v>0</v>
      </c>
      <c r="I1028" s="117">
        <v>0</v>
      </c>
    </row>
    <row r="1029" spans="1:9">
      <c r="A1029" s="116">
        <v>5324</v>
      </c>
      <c r="B1029" s="91">
        <v>-0.57999999999999996</v>
      </c>
      <c r="C1029" s="92">
        <v>0.82203389830508478</v>
      </c>
      <c r="D1029" s="94">
        <v>75862068.965517253</v>
      </c>
      <c r="E1029" s="91">
        <f>VLOOKUP(5324,收盤價!A:C,3,0)</f>
        <v>11.5</v>
      </c>
      <c r="F1029" s="93">
        <v>872413793.10344839</v>
      </c>
      <c r="G1029" s="93">
        <v>142921000</v>
      </c>
      <c r="H1029" s="117">
        <v>6.1</v>
      </c>
      <c r="I1029" s="117">
        <v>0</v>
      </c>
    </row>
    <row r="1030" spans="1:9">
      <c r="A1030" s="116">
        <v>5328</v>
      </c>
      <c r="B1030" s="91">
        <v>7.0000000000000007E-2</v>
      </c>
      <c r="C1030" s="92">
        <v>1</v>
      </c>
      <c r="D1030" s="94">
        <v>171428571.4285714</v>
      </c>
      <c r="E1030" s="91">
        <f>VLOOKUP(5328,收盤價!A:C,3,0)</f>
        <v>4.8</v>
      </c>
      <c r="F1030" s="93">
        <v>822857142.85714269</v>
      </c>
      <c r="G1030" s="93">
        <v>1073303000</v>
      </c>
      <c r="H1030" s="117">
        <v>0.77</v>
      </c>
      <c r="I1030" s="117">
        <v>17.14</v>
      </c>
    </row>
    <row r="1031" spans="1:9">
      <c r="A1031" s="116">
        <v>5340</v>
      </c>
      <c r="B1031" s="91">
        <v>-0.1</v>
      </c>
      <c r="C1031" s="92">
        <v>1</v>
      </c>
      <c r="D1031" s="94">
        <v>190000000</v>
      </c>
      <c r="E1031" s="91">
        <f>VLOOKUP(5340,收盤價!A:C,3,0)</f>
        <v>4.1100000000000003</v>
      </c>
      <c r="F1031" s="93">
        <v>780900000.00000012</v>
      </c>
      <c r="G1031" s="93">
        <v>937743000</v>
      </c>
      <c r="H1031" s="117">
        <v>0.83</v>
      </c>
      <c r="I1031" s="117">
        <v>0</v>
      </c>
    </row>
    <row r="1032" spans="1:9">
      <c r="A1032" s="116">
        <v>5344</v>
      </c>
      <c r="B1032" s="91">
        <v>-0.3</v>
      </c>
      <c r="C1032" s="92">
        <v>1</v>
      </c>
      <c r="D1032" s="94">
        <v>76666666.666666672</v>
      </c>
      <c r="E1032" s="91">
        <f>VLOOKUP(5344,收盤價!A:C,3,0)</f>
        <v>6.49</v>
      </c>
      <c r="F1032" s="93">
        <v>497566666.66666669</v>
      </c>
      <c r="G1032" s="93">
        <v>128517000</v>
      </c>
      <c r="H1032" s="117">
        <v>3.87</v>
      </c>
      <c r="I1032" s="117">
        <v>0</v>
      </c>
    </row>
    <row r="1033" spans="1:9">
      <c r="A1033" s="116">
        <v>5345</v>
      </c>
      <c r="B1033" s="91">
        <v>0.64</v>
      </c>
      <c r="C1033" s="92">
        <v>0</v>
      </c>
      <c r="D1033" s="94">
        <v>50000000</v>
      </c>
      <c r="E1033" s="91">
        <f>VLOOKUP(5345,收盤價!A:C,3,0)</f>
        <v>9.65</v>
      </c>
      <c r="F1033" s="93">
        <v>482500000</v>
      </c>
      <c r="G1033" s="93">
        <v>148099000</v>
      </c>
      <c r="H1033" s="117">
        <v>3.26</v>
      </c>
      <c r="I1033" s="117">
        <v>0</v>
      </c>
    </row>
    <row r="1034" spans="1:9">
      <c r="A1034" s="116">
        <v>5347</v>
      </c>
      <c r="B1034" s="91">
        <v>0.65</v>
      </c>
      <c r="C1034" s="92">
        <v>0.92763157894736847</v>
      </c>
      <c r="D1034" s="94">
        <v>1635384615.3846154</v>
      </c>
      <c r="E1034" s="91">
        <f>VLOOKUP(5347,收盤價!A:C,3,0)</f>
        <v>42.05</v>
      </c>
      <c r="F1034" s="93">
        <v>68767923076.92308</v>
      </c>
      <c r="G1034" s="93">
        <v>24548317000</v>
      </c>
      <c r="H1034" s="117">
        <v>2.8</v>
      </c>
      <c r="I1034" s="117">
        <v>17.43</v>
      </c>
    </row>
    <row r="1035" spans="1:9">
      <c r="A1035" s="116">
        <v>5348</v>
      </c>
      <c r="B1035" s="91">
        <v>-0.4</v>
      </c>
      <c r="C1035" s="92">
        <v>0.94444444444444442</v>
      </c>
      <c r="D1035" s="94">
        <v>25000000</v>
      </c>
      <c r="E1035" s="91">
        <f>VLOOKUP(5348,收盤價!A:C,3,0)</f>
        <v>0</v>
      </c>
      <c r="F1035" s="93">
        <v>0</v>
      </c>
      <c r="G1035" s="93">
        <v>213360000</v>
      </c>
      <c r="H1035" s="117">
        <v>0</v>
      </c>
      <c r="I1035" s="117">
        <v>0</v>
      </c>
    </row>
    <row r="1036" spans="1:9">
      <c r="A1036" s="116">
        <v>2637</v>
      </c>
      <c r="B1036" s="91">
        <v>1.19</v>
      </c>
      <c r="C1036" s="92">
        <v>1</v>
      </c>
      <c r="D1036" s="94">
        <v>471428571.42857146</v>
      </c>
      <c r="E1036" s="91">
        <f>VLOOKUP(2637,收盤價!A:C,3,0)</f>
        <v>37.35</v>
      </c>
      <c r="F1036" s="93">
        <v>17607857142.857143</v>
      </c>
      <c r="G1036" s="93">
        <v>10390126000</v>
      </c>
      <c r="H1036" s="117">
        <v>1.69</v>
      </c>
      <c r="I1036" s="117">
        <v>7.85</v>
      </c>
    </row>
    <row r="1037" spans="1:9">
      <c r="A1037" s="116">
        <v>5351</v>
      </c>
      <c r="B1037" s="91">
        <v>0</v>
      </c>
      <c r="C1037" s="92">
        <v>0</v>
      </c>
      <c r="D1037" s="94">
        <v>0</v>
      </c>
      <c r="E1037" s="91">
        <f>VLOOKUP(5351,收盤價!A:C,3,0)</f>
        <v>14.35</v>
      </c>
      <c r="F1037" s="93">
        <v>0</v>
      </c>
      <c r="G1037" s="93">
        <v>7843538000</v>
      </c>
      <c r="H1037" s="117">
        <v>0</v>
      </c>
      <c r="I1037" s="117">
        <v>0</v>
      </c>
    </row>
    <row r="1038" spans="1:9">
      <c r="A1038" s="116">
        <v>5353</v>
      </c>
      <c r="B1038" s="91">
        <v>0.04</v>
      </c>
      <c r="C1038" s="92">
        <v>0</v>
      </c>
      <c r="D1038" s="94">
        <v>100000000</v>
      </c>
      <c r="E1038" s="91">
        <f>VLOOKUP(5353,收盤價!A:C,3,0)</f>
        <v>9.65</v>
      </c>
      <c r="F1038" s="93">
        <v>965000000</v>
      </c>
      <c r="G1038" s="93">
        <v>1144823000</v>
      </c>
      <c r="H1038" s="117">
        <v>0.84</v>
      </c>
      <c r="I1038" s="117">
        <v>0</v>
      </c>
    </row>
    <row r="1039" spans="1:9">
      <c r="A1039" s="116">
        <v>5355</v>
      </c>
      <c r="B1039" s="91">
        <v>0.02</v>
      </c>
      <c r="C1039" s="92">
        <v>1</v>
      </c>
      <c r="D1039" s="94">
        <v>150000000</v>
      </c>
      <c r="E1039" s="91">
        <f>VLOOKUP(5355,收盤價!A:C,3,0)</f>
        <v>7.18</v>
      </c>
      <c r="F1039" s="93">
        <v>1077000000</v>
      </c>
      <c r="G1039" s="93">
        <v>1594631000</v>
      </c>
      <c r="H1039" s="117">
        <v>0.68</v>
      </c>
      <c r="I1039" s="117">
        <v>89.75</v>
      </c>
    </row>
    <row r="1040" spans="1:9">
      <c r="A1040" s="116">
        <v>5356</v>
      </c>
      <c r="B1040" s="91">
        <v>0.48</v>
      </c>
      <c r="C1040" s="92">
        <v>0.6376811594202898</v>
      </c>
      <c r="D1040" s="94">
        <v>129166666.66666667</v>
      </c>
      <c r="E1040" s="91">
        <f>VLOOKUP(5356,收盤價!A:C,3,0)</f>
        <v>41.9</v>
      </c>
      <c r="F1040" s="93">
        <v>5412083333.333333</v>
      </c>
      <c r="G1040" s="93">
        <v>9724246000</v>
      </c>
      <c r="H1040" s="117">
        <v>0.56000000000000005</v>
      </c>
      <c r="I1040" s="117">
        <v>34.22</v>
      </c>
    </row>
    <row r="1041" spans="1:9">
      <c r="A1041" s="116">
        <v>5364</v>
      </c>
      <c r="B1041" s="91">
        <v>-0.77</v>
      </c>
      <c r="C1041" s="92">
        <v>0.33333333333333331</v>
      </c>
      <c r="D1041" s="94">
        <v>10389610.389610389</v>
      </c>
      <c r="E1041" s="91">
        <f>VLOOKUP(5364,收盤價!A:C,3,0)</f>
        <v>43</v>
      </c>
      <c r="F1041" s="93">
        <v>446753246.75324672</v>
      </c>
      <c r="G1041" s="93">
        <v>334581000</v>
      </c>
      <c r="H1041" s="117">
        <v>1.34</v>
      </c>
      <c r="I1041" s="117">
        <v>0</v>
      </c>
    </row>
    <row r="1042" spans="1:9">
      <c r="A1042" s="116">
        <v>1737</v>
      </c>
      <c r="B1042" s="91">
        <v>0.34</v>
      </c>
      <c r="C1042" s="92">
        <v>1</v>
      </c>
      <c r="D1042" s="94">
        <v>200000000</v>
      </c>
      <c r="E1042" s="91">
        <f>VLOOKUP(1737,收盤價!A:C,3,0)</f>
        <v>24.15</v>
      </c>
      <c r="F1042" s="93">
        <v>4830000000</v>
      </c>
      <c r="G1042" s="93">
        <v>2733739000</v>
      </c>
      <c r="H1042" s="117">
        <v>1.77</v>
      </c>
      <c r="I1042" s="117">
        <v>17.760000000000002</v>
      </c>
    </row>
    <row r="1043" spans="1:9">
      <c r="A1043" s="116">
        <v>5381</v>
      </c>
      <c r="B1043" s="91">
        <v>-0.6</v>
      </c>
      <c r="C1043" s="92">
        <v>0.89500000000000002</v>
      </c>
      <c r="D1043" s="94">
        <v>188333333.33333334</v>
      </c>
      <c r="E1043" s="91">
        <f>VLOOKUP(5381,收盤價!A:C,3,0)</f>
        <v>2.74</v>
      </c>
      <c r="F1043" s="93">
        <v>516033333.33333337</v>
      </c>
      <c r="G1043" s="93">
        <v>1258365000</v>
      </c>
      <c r="H1043" s="117">
        <v>0.41</v>
      </c>
      <c r="I1043" s="117">
        <v>0</v>
      </c>
    </row>
    <row r="1044" spans="1:9">
      <c r="A1044" s="116">
        <v>5383</v>
      </c>
      <c r="B1044" s="91">
        <v>-0.34</v>
      </c>
      <c r="C1044" s="92">
        <v>1</v>
      </c>
      <c r="D1044" s="94">
        <v>70588235.294117644</v>
      </c>
      <c r="E1044" s="91">
        <f>VLOOKUP(5383,收盤價!A:C,3,0)</f>
        <v>9.1300000000000008</v>
      </c>
      <c r="F1044" s="93">
        <v>644470588.2352941</v>
      </c>
      <c r="G1044" s="93">
        <v>894462000</v>
      </c>
      <c r="H1044" s="117">
        <v>0.72</v>
      </c>
      <c r="I1044" s="117">
        <v>0</v>
      </c>
    </row>
    <row r="1045" spans="1:9">
      <c r="A1045" s="116">
        <v>5384</v>
      </c>
      <c r="B1045" s="91">
        <v>0.04</v>
      </c>
      <c r="C1045" s="92">
        <v>0.27272727272727271</v>
      </c>
      <c r="D1045" s="94">
        <v>75000000</v>
      </c>
      <c r="E1045" s="91">
        <f>VLOOKUP(5384,收盤價!A:C,3,0)</f>
        <v>12.3</v>
      </c>
      <c r="F1045" s="93">
        <v>922500000</v>
      </c>
      <c r="G1045" s="93">
        <v>10904945000</v>
      </c>
      <c r="H1045" s="117">
        <v>0.08</v>
      </c>
      <c r="I1045" s="117">
        <v>281.88</v>
      </c>
    </row>
    <row r="1046" spans="1:9">
      <c r="A1046" s="116">
        <v>5386</v>
      </c>
      <c r="B1046" s="91">
        <v>1.07</v>
      </c>
      <c r="C1046" s="92">
        <v>1</v>
      </c>
      <c r="D1046" s="94">
        <v>12149532.710280374</v>
      </c>
      <c r="E1046" s="91">
        <f>VLOOKUP(5386,收盤價!A:C,3,0)</f>
        <v>26.5</v>
      </c>
      <c r="F1046" s="93">
        <v>321962616.8224299</v>
      </c>
      <c r="G1046" s="93">
        <v>1754983000</v>
      </c>
      <c r="H1046" s="117">
        <v>0.18</v>
      </c>
      <c r="I1046" s="117">
        <v>6.19</v>
      </c>
    </row>
    <row r="1047" spans="1:9">
      <c r="A1047" s="116">
        <v>5213</v>
      </c>
      <c r="B1047" s="91">
        <v>-0.03</v>
      </c>
      <c r="C1047" s="92">
        <v>1</v>
      </c>
      <c r="D1047" s="94">
        <v>433333333.33333337</v>
      </c>
      <c r="E1047" s="91">
        <f>VLOOKUP(5213,收盤價!A:C,3,0)</f>
        <v>15.55</v>
      </c>
      <c r="F1047" s="93">
        <v>6738333333.333334</v>
      </c>
      <c r="G1047" s="93">
        <v>4036210000</v>
      </c>
      <c r="H1047" s="117">
        <v>1.67</v>
      </c>
      <c r="I1047" s="117">
        <v>0</v>
      </c>
    </row>
    <row r="1048" spans="1:9">
      <c r="A1048" s="116">
        <v>5392</v>
      </c>
      <c r="B1048" s="91">
        <v>0.16</v>
      </c>
      <c r="C1048" s="92">
        <v>0</v>
      </c>
      <c r="D1048" s="94">
        <v>93750000</v>
      </c>
      <c r="E1048" s="91">
        <f>VLOOKUP(5392,收盤價!A:C,3,0)</f>
        <v>53.9</v>
      </c>
      <c r="F1048" s="93">
        <v>5053125000</v>
      </c>
      <c r="G1048" s="93">
        <v>5030343000</v>
      </c>
      <c r="H1048" s="117">
        <v>1</v>
      </c>
      <c r="I1048" s="117">
        <v>0</v>
      </c>
    </row>
    <row r="1049" spans="1:9">
      <c r="A1049" s="116">
        <v>5395</v>
      </c>
      <c r="B1049" s="91">
        <v>0.01</v>
      </c>
      <c r="C1049" s="92">
        <v>1</v>
      </c>
      <c r="D1049" s="94">
        <v>100000000</v>
      </c>
      <c r="E1049" s="91">
        <f>VLOOKUP(5395,收盤價!A:C,3,0)</f>
        <v>30.6</v>
      </c>
      <c r="F1049" s="93">
        <v>3060000000</v>
      </c>
      <c r="G1049" s="93">
        <v>788782000</v>
      </c>
      <c r="H1049" s="117">
        <v>3.88</v>
      </c>
      <c r="I1049" s="117">
        <v>765</v>
      </c>
    </row>
    <row r="1050" spans="1:9">
      <c r="A1050" s="116">
        <v>5398</v>
      </c>
      <c r="B1050" s="91">
        <v>-1.17</v>
      </c>
      <c r="C1050" s="92">
        <v>0.26027397260273971</v>
      </c>
      <c r="D1050" s="94">
        <v>41880341.88034188</v>
      </c>
      <c r="E1050" s="91">
        <f>VLOOKUP(5398,收盤價!A:C,3,0)</f>
        <v>19.850000000000001</v>
      </c>
      <c r="F1050" s="93">
        <v>831324786.32478642</v>
      </c>
      <c r="G1050" s="93">
        <v>236014000</v>
      </c>
      <c r="H1050" s="117">
        <v>3.52</v>
      </c>
      <c r="I1050" s="117">
        <v>0</v>
      </c>
    </row>
    <row r="1051" spans="1:9">
      <c r="A1051" s="116">
        <v>5403</v>
      </c>
      <c r="B1051" s="91">
        <v>0.57999999999999996</v>
      </c>
      <c r="C1051" s="92">
        <v>0.91891891891891897</v>
      </c>
      <c r="D1051" s="94">
        <v>72413793.103448287</v>
      </c>
      <c r="E1051" s="91">
        <f>VLOOKUP(5403,收盤價!A:C,3,0)</f>
        <v>22.9</v>
      </c>
      <c r="F1051" s="93">
        <v>1658275862.0689657</v>
      </c>
      <c r="G1051" s="93">
        <v>1287585000</v>
      </c>
      <c r="H1051" s="117">
        <v>1.29</v>
      </c>
      <c r="I1051" s="117">
        <v>10.74</v>
      </c>
    </row>
    <row r="1052" spans="1:9">
      <c r="A1052" s="116">
        <v>5410</v>
      </c>
      <c r="B1052" s="91">
        <v>0.19</v>
      </c>
      <c r="C1052" s="92">
        <v>0.78048780487804881</v>
      </c>
      <c r="D1052" s="94">
        <v>89473684.210526317</v>
      </c>
      <c r="E1052" s="91">
        <f>VLOOKUP(5410,收盤價!A:C,3,0)</f>
        <v>11.9</v>
      </c>
      <c r="F1052" s="93">
        <v>1064736842.1052632</v>
      </c>
      <c r="G1052" s="93">
        <v>2270883000</v>
      </c>
      <c r="H1052" s="117">
        <v>0.47</v>
      </c>
      <c r="I1052" s="117">
        <v>20.059999999999999</v>
      </c>
    </row>
    <row r="1053" spans="1:9">
      <c r="A1053" s="116">
        <v>3374</v>
      </c>
      <c r="B1053" s="91">
        <v>0.42</v>
      </c>
      <c r="C1053" s="92">
        <v>1</v>
      </c>
      <c r="D1053" s="94">
        <v>266666666.66666669</v>
      </c>
      <c r="E1053" s="91">
        <f>VLOOKUP(3374,收盤價!A:C,3,0)</f>
        <v>41.3</v>
      </c>
      <c r="F1053" s="93">
        <v>11013333333.333334</v>
      </c>
      <c r="G1053" s="93">
        <v>5302912000</v>
      </c>
      <c r="H1053" s="117">
        <v>2.08</v>
      </c>
      <c r="I1053" s="117">
        <v>24.58</v>
      </c>
    </row>
    <row r="1054" spans="1:9">
      <c r="A1054" s="116">
        <v>5426</v>
      </c>
      <c r="B1054" s="91">
        <v>0</v>
      </c>
      <c r="C1054" s="92">
        <v>0</v>
      </c>
      <c r="D1054" s="94">
        <v>0</v>
      </c>
      <c r="E1054" s="91">
        <f>VLOOKUP(5426,收盤價!A:C,3,0)</f>
        <v>11.5</v>
      </c>
      <c r="F1054" s="93">
        <v>0</v>
      </c>
      <c r="G1054" s="93">
        <v>1702854000</v>
      </c>
      <c r="H1054" s="117">
        <v>0</v>
      </c>
      <c r="I1054" s="117">
        <v>0</v>
      </c>
    </row>
    <row r="1055" spans="1:9">
      <c r="A1055" s="116">
        <v>5432</v>
      </c>
      <c r="B1055" s="91">
        <v>0.19</v>
      </c>
      <c r="C1055" s="92">
        <v>1</v>
      </c>
      <c r="D1055" s="94">
        <v>21052631.578947369</v>
      </c>
      <c r="E1055" s="91">
        <f>VLOOKUP(5432,收盤價!A:C,3,0)</f>
        <v>15.1</v>
      </c>
      <c r="F1055" s="93">
        <v>317894736.84210527</v>
      </c>
      <c r="G1055" s="93">
        <v>132819000</v>
      </c>
      <c r="H1055" s="117">
        <v>2.39</v>
      </c>
      <c r="I1055" s="117">
        <v>19.87</v>
      </c>
    </row>
    <row r="1056" spans="1:9">
      <c r="A1056" s="116">
        <v>5434</v>
      </c>
      <c r="B1056" s="91">
        <v>1.49</v>
      </c>
      <c r="C1056" s="92">
        <v>0.81057268722466957</v>
      </c>
      <c r="D1056" s="94">
        <v>158389261.74496645</v>
      </c>
      <c r="E1056" s="91">
        <f>VLOOKUP(5434,收盤價!A:C,3,0)</f>
        <v>51.1</v>
      </c>
      <c r="F1056" s="93">
        <v>8093691275.1677856</v>
      </c>
      <c r="G1056" s="93">
        <v>18670057000</v>
      </c>
      <c r="H1056" s="117">
        <v>0.43</v>
      </c>
      <c r="I1056" s="117">
        <v>10.58</v>
      </c>
    </row>
    <row r="1057" spans="1:9">
      <c r="A1057" s="116">
        <v>5438</v>
      </c>
      <c r="B1057" s="91">
        <v>0.31</v>
      </c>
      <c r="C1057" s="92">
        <v>1</v>
      </c>
      <c r="D1057" s="94">
        <v>109677419.35483871</v>
      </c>
      <c r="E1057" s="91">
        <f>VLOOKUP(5438,收盤價!A:C,3,0)</f>
        <v>12.15</v>
      </c>
      <c r="F1057" s="93">
        <v>1332580645.1612904</v>
      </c>
      <c r="G1057" s="93">
        <v>2311195000</v>
      </c>
      <c r="H1057" s="117">
        <v>0.57999999999999996</v>
      </c>
      <c r="I1057" s="117">
        <v>9.8000000000000007</v>
      </c>
    </row>
    <row r="1058" spans="1:9">
      <c r="A1058" s="116">
        <v>5439</v>
      </c>
      <c r="B1058" s="91">
        <v>0.32</v>
      </c>
      <c r="C1058" s="92">
        <v>1</v>
      </c>
      <c r="D1058" s="94">
        <v>78125000</v>
      </c>
      <c r="E1058" s="91">
        <f>VLOOKUP(5439,收盤價!A:C,3,0)</f>
        <v>17.899999999999999</v>
      </c>
      <c r="F1058" s="93">
        <v>1398437500</v>
      </c>
      <c r="G1058" s="93">
        <v>1825232000</v>
      </c>
      <c r="H1058" s="117">
        <v>0.77</v>
      </c>
      <c r="I1058" s="117">
        <v>13.98</v>
      </c>
    </row>
    <row r="1059" spans="1:9">
      <c r="A1059" s="116">
        <v>5443</v>
      </c>
      <c r="B1059" s="91">
        <v>0.11</v>
      </c>
      <c r="C1059" s="92">
        <v>1</v>
      </c>
      <c r="D1059" s="94">
        <v>163636363.63636363</v>
      </c>
      <c r="E1059" s="91">
        <f>VLOOKUP(5443,收盤價!A:C,3,0)</f>
        <v>13.35</v>
      </c>
      <c r="F1059" s="93">
        <v>2184545454.5454545</v>
      </c>
      <c r="G1059" s="93">
        <v>3295968000</v>
      </c>
      <c r="H1059" s="117">
        <v>0.66</v>
      </c>
      <c r="I1059" s="117">
        <v>30.34</v>
      </c>
    </row>
    <row r="1060" spans="1:9">
      <c r="A1060" s="116">
        <v>5450</v>
      </c>
      <c r="B1060" s="91">
        <v>-0.34</v>
      </c>
      <c r="C1060" s="92">
        <v>1</v>
      </c>
      <c r="D1060" s="94">
        <v>50000000</v>
      </c>
      <c r="E1060" s="91">
        <f>VLOOKUP(5450,收盤價!A:C,3,0)</f>
        <v>0</v>
      </c>
      <c r="F1060" s="93">
        <v>0</v>
      </c>
      <c r="G1060" s="93">
        <v>765064000</v>
      </c>
      <c r="H1060" s="117">
        <v>0</v>
      </c>
      <c r="I1060" s="117">
        <v>0</v>
      </c>
    </row>
    <row r="1061" spans="1:9">
      <c r="A1061" s="116">
        <v>5452</v>
      </c>
      <c r="B1061" s="91">
        <v>-0.05</v>
      </c>
      <c r="C1061" s="92">
        <v>0</v>
      </c>
      <c r="D1061" s="94">
        <v>140000000</v>
      </c>
      <c r="E1061" s="91">
        <f>VLOOKUP(5452,收盤價!A:C,3,0)</f>
        <v>8.1300000000000008</v>
      </c>
      <c r="F1061" s="93">
        <v>1138200000</v>
      </c>
      <c r="G1061" s="93">
        <v>5868975000</v>
      </c>
      <c r="H1061" s="117">
        <v>0.19</v>
      </c>
      <c r="I1061" s="117">
        <v>0</v>
      </c>
    </row>
    <row r="1062" spans="1:9">
      <c r="A1062" s="116">
        <v>5455</v>
      </c>
      <c r="B1062" s="91">
        <v>-0.34</v>
      </c>
      <c r="C1062" s="92">
        <v>1</v>
      </c>
      <c r="D1062" s="94">
        <v>35294117.647058822</v>
      </c>
      <c r="E1062" s="91">
        <f>VLOOKUP(5455,收盤價!A:C,3,0)</f>
        <v>7.09</v>
      </c>
      <c r="F1062" s="93">
        <v>250235294.11764705</v>
      </c>
      <c r="G1062" s="93">
        <v>22605000</v>
      </c>
      <c r="H1062" s="117">
        <v>11.07</v>
      </c>
      <c r="I1062" s="117">
        <v>0</v>
      </c>
    </row>
    <row r="1063" spans="1:9">
      <c r="A1063" s="116">
        <v>5457</v>
      </c>
      <c r="B1063" s="91">
        <v>0.26</v>
      </c>
      <c r="C1063" s="92">
        <v>1</v>
      </c>
      <c r="D1063" s="94">
        <v>165384615.38461539</v>
      </c>
      <c r="E1063" s="91">
        <f>VLOOKUP(5457,收盤價!A:C,3,0)</f>
        <v>29.1</v>
      </c>
      <c r="F1063" s="93">
        <v>4812692307.6923084</v>
      </c>
      <c r="G1063" s="93">
        <v>2289990000</v>
      </c>
      <c r="H1063" s="117">
        <v>2.1</v>
      </c>
      <c r="I1063" s="117">
        <v>27.98</v>
      </c>
    </row>
    <row r="1064" spans="1:9">
      <c r="A1064" s="116">
        <v>5460</v>
      </c>
      <c r="B1064" s="91">
        <v>0.31</v>
      </c>
      <c r="C1064" s="92">
        <v>0.92682926829268297</v>
      </c>
      <c r="D1064" s="94">
        <v>70967741.935483873</v>
      </c>
      <c r="E1064" s="91">
        <f>VLOOKUP(5460,收盤價!A:C,3,0)</f>
        <v>12.4</v>
      </c>
      <c r="F1064" s="93">
        <v>880000000</v>
      </c>
      <c r="G1064" s="93">
        <v>1001530000</v>
      </c>
      <c r="H1064" s="117">
        <v>0.88</v>
      </c>
      <c r="I1064" s="117">
        <v>10.79</v>
      </c>
    </row>
    <row r="1065" spans="1:9">
      <c r="A1065" s="116">
        <v>5464</v>
      </c>
      <c r="B1065" s="91">
        <v>-0.35</v>
      </c>
      <c r="C1065" s="92">
        <v>0</v>
      </c>
      <c r="D1065" s="94">
        <v>71428571.428571433</v>
      </c>
      <c r="E1065" s="91">
        <f>VLOOKUP(5464,收盤價!A:C,3,0)</f>
        <v>17.100000000000001</v>
      </c>
      <c r="F1065" s="93">
        <v>1221428571.4285717</v>
      </c>
      <c r="G1065" s="93">
        <v>1440106000</v>
      </c>
      <c r="H1065" s="117">
        <v>0.85</v>
      </c>
      <c r="I1065" s="117">
        <v>0</v>
      </c>
    </row>
    <row r="1066" spans="1:9">
      <c r="A1066" s="116">
        <v>5465</v>
      </c>
      <c r="B1066" s="91">
        <v>7.0000000000000007E-2</v>
      </c>
      <c r="C1066" s="92">
        <v>0.34210526315789475</v>
      </c>
      <c r="D1066" s="94">
        <v>142857142.85714284</v>
      </c>
      <c r="E1066" s="91">
        <f>VLOOKUP(5465,收盤價!A:C,3,0)</f>
        <v>10.15</v>
      </c>
      <c r="F1066" s="93">
        <v>1449999999.9999998</v>
      </c>
      <c r="G1066" s="93">
        <v>2662837000</v>
      </c>
      <c r="H1066" s="117">
        <v>0.54</v>
      </c>
      <c r="I1066" s="117">
        <v>105.96</v>
      </c>
    </row>
    <row r="1067" spans="1:9">
      <c r="A1067" s="116">
        <v>5468</v>
      </c>
      <c r="B1067" s="91">
        <v>-0.01</v>
      </c>
      <c r="C1067" s="92">
        <v>0.33333333333333331</v>
      </c>
      <c r="D1067" s="94">
        <v>100000000</v>
      </c>
      <c r="E1067" s="91">
        <f>VLOOKUP(5468,收盤價!A:C,3,0)</f>
        <v>7.52</v>
      </c>
      <c r="F1067" s="93">
        <v>752000000</v>
      </c>
      <c r="G1067" s="93">
        <v>471899000</v>
      </c>
      <c r="H1067" s="117">
        <v>1.59</v>
      </c>
      <c r="I1067" s="117">
        <v>0</v>
      </c>
    </row>
    <row r="1068" spans="1:9">
      <c r="A1068" s="116">
        <v>9930</v>
      </c>
      <c r="B1068" s="91">
        <v>0.92</v>
      </c>
      <c r="C1068" s="92">
        <v>1</v>
      </c>
      <c r="D1068" s="94">
        <v>225000000</v>
      </c>
      <c r="E1068" s="91">
        <f>VLOOKUP(9930,收盤價!A:C,3,0)</f>
        <v>64.8</v>
      </c>
      <c r="F1068" s="93">
        <v>14580000000</v>
      </c>
      <c r="G1068" s="93">
        <v>7605203000</v>
      </c>
      <c r="H1068" s="117">
        <v>1.92</v>
      </c>
      <c r="I1068" s="117">
        <v>17.61</v>
      </c>
    </row>
    <row r="1069" spans="1:9">
      <c r="A1069" s="116">
        <v>5471</v>
      </c>
      <c r="B1069" s="91">
        <v>0.79</v>
      </c>
      <c r="C1069" s="92">
        <v>0.98529411764705888</v>
      </c>
      <c r="D1069" s="94">
        <v>168354430.37974682</v>
      </c>
      <c r="E1069" s="91">
        <f>VLOOKUP(5471,收盤價!A:C,3,0)</f>
        <v>38.1</v>
      </c>
      <c r="F1069" s="93">
        <v>6414303797.4683542</v>
      </c>
      <c r="G1069" s="93">
        <v>3342713000</v>
      </c>
      <c r="H1069" s="117">
        <v>1.92</v>
      </c>
      <c r="I1069" s="117">
        <v>12.24</v>
      </c>
    </row>
    <row r="1070" spans="1:9">
      <c r="A1070" s="116">
        <v>5474</v>
      </c>
      <c r="B1070" s="91">
        <v>0.92</v>
      </c>
      <c r="C1070" s="92">
        <v>1</v>
      </c>
      <c r="D1070" s="94">
        <v>33695652.173913039</v>
      </c>
      <c r="E1070" s="91">
        <f>VLOOKUP(5474,收盤價!A:C,3,0)</f>
        <v>73</v>
      </c>
      <c r="F1070" s="93">
        <v>2459782608.695652</v>
      </c>
      <c r="G1070" s="93">
        <v>1040227000</v>
      </c>
      <c r="H1070" s="117">
        <v>2.36</v>
      </c>
      <c r="I1070" s="117">
        <v>19.84</v>
      </c>
    </row>
    <row r="1071" spans="1:9">
      <c r="A1071" s="116">
        <v>6147</v>
      </c>
      <c r="B1071" s="91">
        <v>0.65</v>
      </c>
      <c r="C1071" s="92">
        <v>1</v>
      </c>
      <c r="D1071" s="94">
        <v>643076923.07692301</v>
      </c>
      <c r="E1071" s="91">
        <f>VLOOKUP(6147,收盤價!A:C,3,0)</f>
        <v>46</v>
      </c>
      <c r="F1071" s="93">
        <v>29581538461.53846</v>
      </c>
      <c r="G1071" s="93">
        <v>17628434000</v>
      </c>
      <c r="H1071" s="117">
        <v>1.68</v>
      </c>
      <c r="I1071" s="117">
        <v>17.690000000000001</v>
      </c>
    </row>
    <row r="1072" spans="1:9">
      <c r="A1072" s="116">
        <v>5478</v>
      </c>
      <c r="B1072" s="91">
        <v>0.28999999999999998</v>
      </c>
      <c r="C1072" s="92">
        <v>0.875</v>
      </c>
      <c r="D1072" s="94">
        <v>131034482.75862069</v>
      </c>
      <c r="E1072" s="91">
        <f>VLOOKUP(5478,收盤價!A:C,3,0)</f>
        <v>59.2</v>
      </c>
      <c r="F1072" s="93">
        <v>7757241379.3103456</v>
      </c>
      <c r="G1072" s="93">
        <v>14729310000</v>
      </c>
      <c r="H1072" s="117">
        <v>0.53</v>
      </c>
      <c r="I1072" s="117">
        <v>58.33</v>
      </c>
    </row>
    <row r="1073" spans="1:9">
      <c r="A1073" s="116">
        <v>2612</v>
      </c>
      <c r="B1073" s="91">
        <v>-0.05</v>
      </c>
      <c r="C1073" s="92">
        <v>1</v>
      </c>
      <c r="D1073" s="94">
        <v>280000000</v>
      </c>
      <c r="E1073" s="91">
        <f>VLOOKUP(2612,收盤價!A:C,3,0)</f>
        <v>23.15</v>
      </c>
      <c r="F1073" s="93">
        <v>6482000000</v>
      </c>
      <c r="G1073" s="93">
        <v>3427601000</v>
      </c>
      <c r="H1073" s="117">
        <v>1.89</v>
      </c>
      <c r="I1073" s="117">
        <v>0</v>
      </c>
    </row>
    <row r="1074" spans="1:9">
      <c r="A1074" s="116">
        <v>5481</v>
      </c>
      <c r="B1074" s="91">
        <v>-0.55000000000000004</v>
      </c>
      <c r="C1074" s="92">
        <v>0.53246753246753242</v>
      </c>
      <c r="D1074" s="94">
        <v>96363636.36363636</v>
      </c>
      <c r="E1074" s="91">
        <f>VLOOKUP(5481,收盤價!A:C,3,0)</f>
        <v>16.2</v>
      </c>
      <c r="F1074" s="93">
        <v>1561090909.090909</v>
      </c>
      <c r="G1074" s="93">
        <v>140944000</v>
      </c>
      <c r="H1074" s="117">
        <v>11.08</v>
      </c>
      <c r="I1074" s="117">
        <v>0</v>
      </c>
    </row>
    <row r="1075" spans="1:9">
      <c r="A1075" s="116">
        <v>5483</v>
      </c>
      <c r="B1075" s="91">
        <v>0</v>
      </c>
      <c r="C1075" s="92">
        <v>0</v>
      </c>
      <c r="D1075" s="94">
        <v>0</v>
      </c>
      <c r="E1075" s="91">
        <f>VLOOKUP(5483,收盤價!A:C,3,0)</f>
        <v>40.75</v>
      </c>
      <c r="F1075" s="93">
        <v>0</v>
      </c>
      <c r="G1075" s="93">
        <v>28624233000</v>
      </c>
      <c r="H1075" s="117">
        <v>0</v>
      </c>
      <c r="I1075" s="117">
        <v>0</v>
      </c>
    </row>
    <row r="1076" spans="1:9">
      <c r="A1076" s="116">
        <v>5484</v>
      </c>
      <c r="B1076" s="91">
        <v>-0.45</v>
      </c>
      <c r="C1076" s="92">
        <v>0.85046728971962615</v>
      </c>
      <c r="D1076" s="94">
        <v>115555555.55555555</v>
      </c>
      <c r="E1076" s="91">
        <f>VLOOKUP(5484,收盤價!A:C,3,0)</f>
        <v>4.74</v>
      </c>
      <c r="F1076" s="93">
        <v>547733333.33333337</v>
      </c>
      <c r="G1076" s="93">
        <v>1305593000</v>
      </c>
      <c r="H1076" s="117">
        <v>0.42</v>
      </c>
      <c r="I1076" s="117">
        <v>0</v>
      </c>
    </row>
    <row r="1077" spans="1:9">
      <c r="A1077" s="116">
        <v>5487</v>
      </c>
      <c r="B1077" s="91">
        <v>0.41</v>
      </c>
      <c r="C1077" s="92">
        <v>0.8666666666666667</v>
      </c>
      <c r="D1077" s="94">
        <v>21951219.512195121</v>
      </c>
      <c r="E1077" s="91">
        <f>VLOOKUP(5487,收盤價!A:C,3,0)</f>
        <v>20.05</v>
      </c>
      <c r="F1077" s="93">
        <v>440121951.21951222</v>
      </c>
      <c r="G1077" s="93">
        <v>316337000</v>
      </c>
      <c r="H1077" s="117">
        <v>1.39</v>
      </c>
      <c r="I1077" s="117">
        <v>14.11</v>
      </c>
    </row>
    <row r="1078" spans="1:9">
      <c r="A1078" s="116">
        <v>5489</v>
      </c>
      <c r="B1078" s="91">
        <v>0.65</v>
      </c>
      <c r="C1078" s="92">
        <v>1</v>
      </c>
      <c r="D1078" s="94">
        <v>101538461.53846154</v>
      </c>
      <c r="E1078" s="91">
        <f>VLOOKUP(5489,收盤價!A:C,3,0)</f>
        <v>51</v>
      </c>
      <c r="F1078" s="93">
        <v>5178461538.4615383</v>
      </c>
      <c r="G1078" s="93">
        <v>2492333000</v>
      </c>
      <c r="H1078" s="117">
        <v>2.08</v>
      </c>
      <c r="I1078" s="117">
        <v>19.62</v>
      </c>
    </row>
    <row r="1079" spans="1:9">
      <c r="A1079" s="116">
        <v>5490</v>
      </c>
      <c r="B1079" s="91">
        <v>2.08</v>
      </c>
      <c r="C1079" s="92">
        <v>0.96</v>
      </c>
      <c r="D1079" s="94">
        <v>94230769.230769232</v>
      </c>
      <c r="E1079" s="91">
        <f>VLOOKUP(5490,收盤價!A:C,3,0)</f>
        <v>66.900000000000006</v>
      </c>
      <c r="F1079" s="93">
        <v>6304038461.5384617</v>
      </c>
      <c r="G1079" s="93">
        <v>3063884000</v>
      </c>
      <c r="H1079" s="117">
        <v>2.06</v>
      </c>
      <c r="I1079" s="117">
        <v>8.3800000000000008</v>
      </c>
    </row>
    <row r="1080" spans="1:9">
      <c r="A1080" s="116">
        <v>2305</v>
      </c>
      <c r="B1080" s="91">
        <v>0.08</v>
      </c>
      <c r="C1080" s="92">
        <v>0</v>
      </c>
      <c r="D1080" s="94">
        <v>200000000</v>
      </c>
      <c r="E1080" s="91">
        <f>VLOOKUP(2305,收盤價!A:C,3,0)</f>
        <v>7.3</v>
      </c>
      <c r="F1080" s="93">
        <v>1460000000</v>
      </c>
      <c r="G1080" s="93">
        <v>807067000</v>
      </c>
      <c r="H1080" s="117">
        <v>1.81</v>
      </c>
      <c r="I1080" s="117">
        <v>0</v>
      </c>
    </row>
    <row r="1081" spans="1:9">
      <c r="A1081" s="116">
        <v>5493</v>
      </c>
      <c r="B1081" s="91">
        <v>1.24</v>
      </c>
      <c r="C1081" s="92">
        <v>0.75</v>
      </c>
      <c r="D1081" s="94">
        <v>44354838.709677421</v>
      </c>
      <c r="E1081" s="91">
        <f>VLOOKUP(5493,收盤價!A:C,3,0)</f>
        <v>33.1</v>
      </c>
      <c r="F1081" s="93">
        <v>1468145161.2903228</v>
      </c>
      <c r="G1081" s="93">
        <v>2246204000</v>
      </c>
      <c r="H1081" s="117">
        <v>0.65</v>
      </c>
      <c r="I1081" s="117">
        <v>8.9</v>
      </c>
    </row>
    <row r="1082" spans="1:9">
      <c r="A1082" s="116">
        <v>5498</v>
      </c>
      <c r="B1082" s="91">
        <v>-0.01</v>
      </c>
      <c r="C1082" s="92">
        <v>1</v>
      </c>
      <c r="D1082" s="94">
        <v>100000000</v>
      </c>
      <c r="E1082" s="91">
        <f>VLOOKUP(5498,收盤價!A:C,3,0)</f>
        <v>8.35</v>
      </c>
      <c r="F1082" s="93">
        <v>835000000</v>
      </c>
      <c r="G1082" s="93">
        <v>1024312000</v>
      </c>
      <c r="H1082" s="117">
        <v>0.82</v>
      </c>
      <c r="I1082" s="117">
        <v>0</v>
      </c>
    </row>
    <row r="1083" spans="1:9">
      <c r="A1083" s="116">
        <v>5508</v>
      </c>
      <c r="B1083" s="91">
        <v>1.03</v>
      </c>
      <c r="C1083" s="92">
        <v>1</v>
      </c>
      <c r="D1083" s="94">
        <v>181553398.05825242</v>
      </c>
      <c r="E1083" s="91">
        <f>VLOOKUP(5508,收盤價!A:C,3,0)</f>
        <v>30.2</v>
      </c>
      <c r="F1083" s="93">
        <v>5482912621.3592234</v>
      </c>
      <c r="G1083" s="93">
        <v>1964324000</v>
      </c>
      <c r="H1083" s="117">
        <v>2.79</v>
      </c>
      <c r="I1083" s="117">
        <v>7.33</v>
      </c>
    </row>
    <row r="1084" spans="1:9">
      <c r="A1084" s="116">
        <v>5511</v>
      </c>
      <c r="B1084" s="91">
        <v>0.55000000000000004</v>
      </c>
      <c r="C1084" s="92">
        <v>1</v>
      </c>
      <c r="D1084" s="94">
        <v>152727272.72727272</v>
      </c>
      <c r="E1084" s="91">
        <f>VLOOKUP(5511,收盤價!A:C,3,0)</f>
        <v>24.9</v>
      </c>
      <c r="F1084" s="93">
        <v>3802909090.9090905</v>
      </c>
      <c r="G1084" s="93">
        <v>4655727000</v>
      </c>
      <c r="H1084" s="117">
        <v>0.82</v>
      </c>
      <c r="I1084" s="117">
        <v>11.32</v>
      </c>
    </row>
    <row r="1085" spans="1:9">
      <c r="A1085" s="116">
        <v>1308</v>
      </c>
      <c r="B1085" s="91">
        <v>0.36</v>
      </c>
      <c r="C1085" s="92">
        <v>0.49169435215946844</v>
      </c>
      <c r="D1085" s="94">
        <v>500000000</v>
      </c>
      <c r="E1085" s="91">
        <f>VLOOKUP(1308,收盤價!A:C,3,0)</f>
        <v>18.55</v>
      </c>
      <c r="F1085" s="93">
        <v>9275000000</v>
      </c>
      <c r="G1085" s="93">
        <v>4945155000</v>
      </c>
      <c r="H1085" s="117">
        <v>1.88</v>
      </c>
      <c r="I1085" s="117">
        <v>26.2</v>
      </c>
    </row>
    <row r="1086" spans="1:9">
      <c r="A1086" s="116">
        <v>5514</v>
      </c>
      <c r="B1086" s="91">
        <v>-0.12</v>
      </c>
      <c r="C1086" s="92">
        <v>1</v>
      </c>
      <c r="D1086" s="94">
        <v>141666666.66666669</v>
      </c>
      <c r="E1086" s="91">
        <f>VLOOKUP(5514,收盤價!A:C,3,0)</f>
        <v>12.15</v>
      </c>
      <c r="F1086" s="93">
        <v>1721250000.0000002</v>
      </c>
      <c r="G1086" s="93">
        <v>184815000</v>
      </c>
      <c r="H1086" s="117">
        <v>9.31</v>
      </c>
      <c r="I1086" s="117">
        <v>0</v>
      </c>
    </row>
    <row r="1087" spans="1:9">
      <c r="A1087" s="116">
        <v>2539</v>
      </c>
      <c r="B1087" s="91">
        <v>2.72</v>
      </c>
      <c r="C1087" s="92">
        <v>1</v>
      </c>
      <c r="D1087" s="94">
        <v>238602941.17647058</v>
      </c>
      <c r="E1087" s="91">
        <f>VLOOKUP(2539,收盤價!A:C,3,0)</f>
        <v>23.15</v>
      </c>
      <c r="F1087" s="93">
        <v>5523658088.2352934</v>
      </c>
      <c r="G1087" s="93">
        <v>2979786000</v>
      </c>
      <c r="H1087" s="117">
        <v>1.85</v>
      </c>
      <c r="I1087" s="117">
        <v>2.13</v>
      </c>
    </row>
    <row r="1088" spans="1:9">
      <c r="A1088" s="116">
        <v>5516</v>
      </c>
      <c r="B1088" s="91">
        <v>-7.0000000000000007E-2</v>
      </c>
      <c r="C1088" s="92">
        <v>0.3</v>
      </c>
      <c r="D1088" s="94">
        <v>42857142.857142851</v>
      </c>
      <c r="E1088" s="91">
        <f>VLOOKUP(5516,收盤價!A:C,3,0)</f>
        <v>0</v>
      </c>
      <c r="F1088" s="93">
        <v>0</v>
      </c>
      <c r="G1088" s="93">
        <v>466759000</v>
      </c>
      <c r="H1088" s="117">
        <v>0</v>
      </c>
      <c r="I1088" s="117">
        <v>0</v>
      </c>
    </row>
    <row r="1089" spans="1:9">
      <c r="A1089" s="116">
        <v>5519</v>
      </c>
      <c r="B1089" s="91">
        <v>0.54</v>
      </c>
      <c r="C1089" s="92">
        <v>0.97931034482758617</v>
      </c>
      <c r="D1089" s="94">
        <v>174074074.07407406</v>
      </c>
      <c r="E1089" s="91">
        <f>VLOOKUP(5519,收盤價!A:C,3,0)</f>
        <v>13.7</v>
      </c>
      <c r="F1089" s="93">
        <v>2384814814.8148146</v>
      </c>
      <c r="G1089" s="93">
        <v>3666010000</v>
      </c>
      <c r="H1089" s="117">
        <v>0.65</v>
      </c>
      <c r="I1089" s="117">
        <v>6.48</v>
      </c>
    </row>
    <row r="1090" spans="1:9">
      <c r="A1090" s="116">
        <v>5520</v>
      </c>
      <c r="B1090" s="91">
        <v>0.66</v>
      </c>
      <c r="C1090" s="92">
        <v>0.65</v>
      </c>
      <c r="D1090" s="94">
        <v>71212121.212121204</v>
      </c>
      <c r="E1090" s="91">
        <f>VLOOKUP(5520,收盤價!A:C,3,0)</f>
        <v>25.8</v>
      </c>
      <c r="F1090" s="93">
        <v>1837272727.272727</v>
      </c>
      <c r="G1090" s="93">
        <v>2358628000</v>
      </c>
      <c r="H1090" s="117">
        <v>0.78</v>
      </c>
      <c r="I1090" s="117">
        <v>15.03</v>
      </c>
    </row>
    <row r="1091" spans="1:9">
      <c r="A1091" s="116">
        <v>9914</v>
      </c>
      <c r="B1091" s="91">
        <v>1.96</v>
      </c>
      <c r="C1091" s="92">
        <v>0.77657098525989143</v>
      </c>
      <c r="D1091" s="94">
        <v>298979591.83673471</v>
      </c>
      <c r="E1091" s="91">
        <f>VLOOKUP(9914,收盤價!A:C,3,0)</f>
        <v>197</v>
      </c>
      <c r="F1091" s="93">
        <v>58898979591.836739</v>
      </c>
      <c r="G1091" s="93">
        <v>28532711000</v>
      </c>
      <c r="H1091" s="117">
        <v>2.06</v>
      </c>
      <c r="I1091" s="117">
        <v>32.36</v>
      </c>
    </row>
    <row r="1092" spans="1:9">
      <c r="A1092" s="116">
        <v>5522</v>
      </c>
      <c r="B1092" s="91">
        <v>2.46</v>
      </c>
      <c r="C1092" s="92">
        <v>0.88733599543639474</v>
      </c>
      <c r="D1092" s="94">
        <v>833739837.39837396</v>
      </c>
      <c r="E1092" s="91">
        <f>VLOOKUP(5522,收盤價!A:C,3,0)</f>
        <v>36.549999999999997</v>
      </c>
      <c r="F1092" s="93">
        <v>30473191056.910564</v>
      </c>
      <c r="G1092" s="93">
        <v>26057178000</v>
      </c>
      <c r="H1092" s="117">
        <v>1.17</v>
      </c>
      <c r="I1092" s="117">
        <v>4.1900000000000004</v>
      </c>
    </row>
    <row r="1093" spans="1:9">
      <c r="A1093" s="116">
        <v>5523</v>
      </c>
      <c r="B1093" s="91">
        <v>-0.21</v>
      </c>
      <c r="C1093" s="92">
        <v>0.8571428571428571</v>
      </c>
      <c r="D1093" s="94">
        <v>114285714.28571428</v>
      </c>
      <c r="E1093" s="91">
        <f>VLOOKUP(5523,收盤價!A:C,3,0)</f>
        <v>8</v>
      </c>
      <c r="F1093" s="93">
        <v>914285714.28571427</v>
      </c>
      <c r="G1093" s="93">
        <v>1638476000</v>
      </c>
      <c r="H1093" s="117">
        <v>0.56000000000000005</v>
      </c>
      <c r="I1093" s="117">
        <v>0</v>
      </c>
    </row>
    <row r="1094" spans="1:9">
      <c r="A1094" s="116">
        <v>2506</v>
      </c>
      <c r="B1094" s="91">
        <v>0.04</v>
      </c>
      <c r="C1094" s="92">
        <v>0.99230769230769234</v>
      </c>
      <c r="D1094" s="94">
        <v>400000000</v>
      </c>
      <c r="E1094" s="91">
        <f>VLOOKUP(2506,收盤價!A:C,3,0)</f>
        <v>16.7</v>
      </c>
      <c r="F1094" s="93">
        <v>6680000000</v>
      </c>
      <c r="G1094" s="93">
        <v>3520668000</v>
      </c>
      <c r="H1094" s="117">
        <v>1.9</v>
      </c>
      <c r="I1094" s="117">
        <v>105.18</v>
      </c>
    </row>
    <row r="1095" spans="1:9">
      <c r="A1095" s="116">
        <v>5529</v>
      </c>
      <c r="B1095" s="91">
        <v>-0.17</v>
      </c>
      <c r="C1095" s="92">
        <v>0.83333333333333337</v>
      </c>
      <c r="D1095" s="94">
        <v>105882352.94117646</v>
      </c>
      <c r="E1095" s="91">
        <f>VLOOKUP(5529,收盤價!A:C,3,0)</f>
        <v>8.7200000000000006</v>
      </c>
      <c r="F1095" s="93">
        <v>923294117.64705884</v>
      </c>
      <c r="G1095" s="93">
        <v>69826000</v>
      </c>
      <c r="H1095" s="117">
        <v>13.22</v>
      </c>
      <c r="I1095" s="117">
        <v>0</v>
      </c>
    </row>
    <row r="1096" spans="1:9">
      <c r="A1096" s="116">
        <v>2617</v>
      </c>
      <c r="B1096" s="91">
        <v>-0.08</v>
      </c>
      <c r="C1096" s="92">
        <v>1</v>
      </c>
      <c r="D1096" s="94">
        <v>412500000</v>
      </c>
      <c r="E1096" s="91">
        <f>VLOOKUP(2617,收盤價!A:C,3,0)</f>
        <v>13.7</v>
      </c>
      <c r="F1096" s="93">
        <v>5651250000</v>
      </c>
      <c r="G1096" s="93">
        <v>2770312000</v>
      </c>
      <c r="H1096" s="117">
        <v>2.04</v>
      </c>
      <c r="I1096" s="117">
        <v>0</v>
      </c>
    </row>
    <row r="1097" spans="1:9">
      <c r="A1097" s="116">
        <v>5531</v>
      </c>
      <c r="B1097" s="91">
        <v>-0.18</v>
      </c>
      <c r="C1097" s="92">
        <v>0.53667953667953672</v>
      </c>
      <c r="D1097" s="94">
        <v>888888888.88888896</v>
      </c>
      <c r="E1097" s="91">
        <f>VLOOKUP(5531,收盤價!A:C,3,0)</f>
        <v>11.55</v>
      </c>
      <c r="F1097" s="93">
        <v>10266666666.666668</v>
      </c>
      <c r="G1097" s="93">
        <v>2831192000</v>
      </c>
      <c r="H1097" s="117">
        <v>3.63</v>
      </c>
      <c r="I1097" s="117">
        <v>0</v>
      </c>
    </row>
    <row r="1098" spans="1:9">
      <c r="A1098" s="116">
        <v>3022</v>
      </c>
      <c r="B1098" s="91">
        <v>0.99</v>
      </c>
      <c r="C1098" s="92">
        <v>0.57878787878787874</v>
      </c>
      <c r="D1098" s="94">
        <v>328282828.28282827</v>
      </c>
      <c r="E1098" s="91">
        <f>VLOOKUP(3022,收盤價!A:C,3,0)</f>
        <v>40.35</v>
      </c>
      <c r="F1098" s="93">
        <v>13246212121.212122</v>
      </c>
      <c r="G1098" s="93">
        <v>6848195000</v>
      </c>
      <c r="H1098" s="117">
        <v>1.93</v>
      </c>
      <c r="I1098" s="117">
        <v>17.600000000000001</v>
      </c>
    </row>
    <row r="1099" spans="1:9">
      <c r="A1099" s="116">
        <v>6166</v>
      </c>
      <c r="B1099" s="91">
        <v>0.82</v>
      </c>
      <c r="C1099" s="92">
        <v>1</v>
      </c>
      <c r="D1099" s="94">
        <v>200000000</v>
      </c>
      <c r="E1099" s="91">
        <f>VLOOKUP(6166,收盤價!A:C,3,0)</f>
        <v>90.2</v>
      </c>
      <c r="F1099" s="93">
        <v>18040000000</v>
      </c>
      <c r="G1099" s="93">
        <v>8919163000</v>
      </c>
      <c r="H1099" s="117">
        <v>2.02</v>
      </c>
      <c r="I1099" s="117">
        <v>27.5</v>
      </c>
    </row>
    <row r="1100" spans="1:9">
      <c r="A1100" s="116">
        <v>5536</v>
      </c>
      <c r="B1100" s="91">
        <v>3.34</v>
      </c>
      <c r="C1100" s="92">
        <v>0.98067632850241548</v>
      </c>
      <c r="D1100" s="94">
        <v>46107784.431137726</v>
      </c>
      <c r="E1100" s="91">
        <f>VLOOKUP(5536,收盤價!A:C,3,0)</f>
        <v>94</v>
      </c>
      <c r="F1100" s="93">
        <v>4334131736.5269461</v>
      </c>
      <c r="G1100" s="93">
        <v>7681402000</v>
      </c>
      <c r="H1100" s="117">
        <v>0.56000000000000005</v>
      </c>
      <c r="I1100" s="117">
        <v>7.17</v>
      </c>
    </row>
    <row r="1101" spans="1:9">
      <c r="A1101" s="116">
        <v>5538</v>
      </c>
      <c r="B1101" s="91">
        <v>0.46</v>
      </c>
      <c r="C1101" s="92">
        <v>0.97515527950310554</v>
      </c>
      <c r="D1101" s="94">
        <v>169565217.39130434</v>
      </c>
      <c r="E1101" s="91">
        <f>VLOOKUP(5538,收盤價!A:C,3,0)</f>
        <v>27.2</v>
      </c>
      <c r="F1101" s="93">
        <v>4612173913.043478</v>
      </c>
      <c r="G1101" s="93">
        <v>6289896000</v>
      </c>
      <c r="H1101" s="117">
        <v>0.73</v>
      </c>
      <c r="I1101" s="117">
        <v>15.16</v>
      </c>
    </row>
    <row r="1102" spans="1:9">
      <c r="A1102" s="116">
        <v>5601</v>
      </c>
      <c r="B1102" s="91">
        <v>0.06</v>
      </c>
      <c r="C1102" s="92">
        <v>0.9</v>
      </c>
      <c r="D1102" s="94">
        <v>66666666.666666672</v>
      </c>
      <c r="E1102" s="91">
        <f>VLOOKUP(5601,收盤價!A:C,3,0)</f>
        <v>26.6</v>
      </c>
      <c r="F1102" s="93">
        <v>1773333333.3333335</v>
      </c>
      <c r="G1102" s="93">
        <v>74604000</v>
      </c>
      <c r="H1102" s="117">
        <v>23.77</v>
      </c>
      <c r="I1102" s="117">
        <v>123.15</v>
      </c>
    </row>
    <row r="1103" spans="1:9">
      <c r="A1103" s="116">
        <v>5603</v>
      </c>
      <c r="B1103" s="91">
        <v>0.44</v>
      </c>
      <c r="C1103" s="92">
        <v>0.94736842105263153</v>
      </c>
      <c r="D1103" s="94">
        <v>75000000</v>
      </c>
      <c r="E1103" s="91">
        <f>VLOOKUP(5603,收盤價!A:C,3,0)</f>
        <v>15.5</v>
      </c>
      <c r="F1103" s="93">
        <v>1162500000</v>
      </c>
      <c r="G1103" s="93">
        <v>2201442000</v>
      </c>
      <c r="H1103" s="117">
        <v>0.53</v>
      </c>
      <c r="I1103" s="117">
        <v>9.3000000000000007</v>
      </c>
    </row>
    <row r="1104" spans="1:9">
      <c r="A1104" s="116">
        <v>5604</v>
      </c>
      <c r="B1104" s="91">
        <v>0.32</v>
      </c>
      <c r="C1104" s="92">
        <v>0.96825396825396826</v>
      </c>
      <c r="D1104" s="94">
        <v>109375000</v>
      </c>
      <c r="E1104" s="91">
        <f>VLOOKUP(5604,收盤價!A:C,3,0)</f>
        <v>35.5</v>
      </c>
      <c r="F1104" s="93">
        <v>3882812500</v>
      </c>
      <c r="G1104" s="93">
        <v>1485044000</v>
      </c>
      <c r="H1104" s="117">
        <v>2.61</v>
      </c>
      <c r="I1104" s="117">
        <v>28.64</v>
      </c>
    </row>
    <row r="1105" spans="1:9">
      <c r="A1105" s="116">
        <v>5607</v>
      </c>
      <c r="B1105" s="91">
        <v>0.25</v>
      </c>
      <c r="C1105" s="92">
        <v>1</v>
      </c>
      <c r="D1105" s="94">
        <v>172000000</v>
      </c>
      <c r="E1105" s="91">
        <f>VLOOKUP(5607,收盤價!A:C,3,0)</f>
        <v>16.25</v>
      </c>
      <c r="F1105" s="93">
        <v>2795000000</v>
      </c>
      <c r="G1105" s="93">
        <v>1281676000</v>
      </c>
      <c r="H1105" s="117">
        <v>2.1800000000000002</v>
      </c>
      <c r="I1105" s="117">
        <v>16.25</v>
      </c>
    </row>
    <row r="1106" spans="1:9">
      <c r="A1106" s="116">
        <v>3705</v>
      </c>
      <c r="B1106" s="91">
        <v>0.63</v>
      </c>
      <c r="C1106" s="92">
        <v>0.77260273972602744</v>
      </c>
      <c r="D1106" s="94">
        <v>266666666.66666666</v>
      </c>
      <c r="E1106" s="91">
        <f>VLOOKUP(3705,收盤價!A:C,3,0)</f>
        <v>47.4</v>
      </c>
      <c r="F1106" s="93">
        <v>12640000000</v>
      </c>
      <c r="G1106" s="93">
        <v>5978864000</v>
      </c>
      <c r="H1106" s="117">
        <v>2.11</v>
      </c>
      <c r="I1106" s="117">
        <v>24.35</v>
      </c>
    </row>
    <row r="1107" spans="1:9">
      <c r="A1107" s="116">
        <v>5609</v>
      </c>
      <c r="B1107" s="91">
        <v>0.56000000000000005</v>
      </c>
      <c r="C1107" s="92">
        <v>0.7722772277227723</v>
      </c>
      <c r="D1107" s="94">
        <v>128571428.57142855</v>
      </c>
      <c r="E1107" s="91">
        <f>VLOOKUP(5609,收盤價!A:C,3,0)</f>
        <v>17.95</v>
      </c>
      <c r="F1107" s="93">
        <v>2307857142.8571424</v>
      </c>
      <c r="G1107" s="93">
        <v>15133430000</v>
      </c>
      <c r="H1107" s="117">
        <v>0.15</v>
      </c>
      <c r="I1107" s="117">
        <v>10.38</v>
      </c>
    </row>
    <row r="1108" spans="1:9">
      <c r="A1108" s="116">
        <v>1103</v>
      </c>
      <c r="B1108" s="91">
        <v>0.17</v>
      </c>
      <c r="C1108" s="92">
        <v>1</v>
      </c>
      <c r="D1108" s="94">
        <v>635294117.64705873</v>
      </c>
      <c r="E1108" s="91">
        <f>VLOOKUP(1103,收盤價!A:C,3,0)</f>
        <v>10.75</v>
      </c>
      <c r="F1108" s="93">
        <v>6829411764.7058811</v>
      </c>
      <c r="G1108" s="95">
        <v>3225804000</v>
      </c>
      <c r="H1108" s="117">
        <v>2.12</v>
      </c>
      <c r="I1108" s="117">
        <v>15.81</v>
      </c>
    </row>
    <row r="1109" spans="1:9">
      <c r="A1109" s="116">
        <v>5703</v>
      </c>
      <c r="B1109" s="91">
        <v>0.13</v>
      </c>
      <c r="C1109" s="92">
        <v>1</v>
      </c>
      <c r="D1109" s="94">
        <v>69230769.230769232</v>
      </c>
      <c r="E1109" s="91">
        <f>VLOOKUP(5703,收盤價!A:C,3,0)</f>
        <v>22.2</v>
      </c>
      <c r="F1109" s="93">
        <v>1536923076.9230769</v>
      </c>
      <c r="G1109" s="93">
        <v>1030220000</v>
      </c>
      <c r="H1109" s="117">
        <v>1.49</v>
      </c>
      <c r="I1109" s="117">
        <v>42.69</v>
      </c>
    </row>
    <row r="1110" spans="1:9">
      <c r="A1110" s="116">
        <v>5704</v>
      </c>
      <c r="B1110" s="91">
        <v>0.05</v>
      </c>
      <c r="C1110" s="92">
        <v>0.84210526315789469</v>
      </c>
      <c r="D1110" s="94">
        <v>40000000</v>
      </c>
      <c r="E1110" s="91">
        <f>VLOOKUP(5704,收盤價!A:C,3,0)</f>
        <v>27.45</v>
      </c>
      <c r="F1110" s="93">
        <v>1098000000</v>
      </c>
      <c r="G1110" s="93">
        <v>335289000</v>
      </c>
      <c r="H1110" s="117">
        <v>3.27</v>
      </c>
      <c r="I1110" s="117">
        <v>162.97999999999999</v>
      </c>
    </row>
    <row r="1111" spans="1:9">
      <c r="A1111" s="116">
        <v>5706</v>
      </c>
      <c r="B1111" s="91">
        <v>1.29</v>
      </c>
      <c r="C1111" s="92">
        <v>0.82242990654205606</v>
      </c>
      <c r="D1111" s="94">
        <v>59689922.480620153</v>
      </c>
      <c r="E1111" s="91">
        <f>VLOOKUP(5706,收盤價!A:C,3,0)</f>
        <v>39.9</v>
      </c>
      <c r="F1111" s="93">
        <v>2381627906.9767442</v>
      </c>
      <c r="G1111" s="93">
        <v>2867236000</v>
      </c>
      <c r="H1111" s="117">
        <v>0.83</v>
      </c>
      <c r="I1111" s="117">
        <v>9.4</v>
      </c>
    </row>
    <row r="1112" spans="1:9">
      <c r="A1112" s="116">
        <v>5871</v>
      </c>
      <c r="B1112" s="91">
        <v>1.5</v>
      </c>
      <c r="C1112" s="92">
        <v>0.85597189695550346</v>
      </c>
      <c r="D1112" s="94">
        <v>1138000000</v>
      </c>
      <c r="E1112" s="91">
        <f>VLOOKUP(5871,收盤價!A:C,3,0)</f>
        <v>61.3</v>
      </c>
      <c r="F1112" s="93">
        <v>69759400000</v>
      </c>
      <c r="G1112" s="93">
        <v>35394645000</v>
      </c>
      <c r="H1112" s="117">
        <v>1.97</v>
      </c>
      <c r="I1112" s="117">
        <v>11.94</v>
      </c>
    </row>
    <row r="1113" spans="1:9">
      <c r="A1113" s="116">
        <v>5878</v>
      </c>
      <c r="B1113" s="91">
        <v>0.49</v>
      </c>
      <c r="C1113" s="92">
        <v>0.81081081081081086</v>
      </c>
      <c r="D1113" s="94">
        <v>24489795.918367349</v>
      </c>
      <c r="E1113" s="91">
        <f>VLOOKUP(5878,收盤價!A:C,3,0)</f>
        <v>46</v>
      </c>
      <c r="F1113" s="93">
        <v>1126530612.2448981</v>
      </c>
      <c r="G1113" s="93">
        <v>574745000</v>
      </c>
      <c r="H1113" s="117">
        <v>1.96</v>
      </c>
      <c r="I1113" s="117">
        <v>28.95</v>
      </c>
    </row>
    <row r="1114" spans="1:9">
      <c r="A1114" s="116">
        <v>5902</v>
      </c>
      <c r="B1114" s="91">
        <v>0.03</v>
      </c>
      <c r="C1114" s="92">
        <v>1</v>
      </c>
      <c r="D1114" s="94">
        <v>100000000</v>
      </c>
      <c r="E1114" s="91">
        <f>VLOOKUP(5902,收盤價!A:C,3,0)</f>
        <v>9.2799999999999994</v>
      </c>
      <c r="F1114" s="93">
        <v>927999999.99999988</v>
      </c>
      <c r="G1114" s="93">
        <v>1986946000</v>
      </c>
      <c r="H1114" s="117">
        <v>0.47</v>
      </c>
      <c r="I1114" s="117">
        <v>77.33</v>
      </c>
    </row>
    <row r="1115" spans="1:9">
      <c r="A1115" s="116">
        <v>9910</v>
      </c>
      <c r="B1115" s="91">
        <v>1.64</v>
      </c>
      <c r="C1115" s="92">
        <v>0.8423373759647188</v>
      </c>
      <c r="D1115" s="94">
        <v>595121951.21951222</v>
      </c>
      <c r="E1115" s="91">
        <f>VLOOKUP(9910,收盤價!A:C,3,0)</f>
        <v>191.5</v>
      </c>
      <c r="F1115" s="93">
        <v>113965853658.53659</v>
      </c>
      <c r="G1115" s="93">
        <v>52798895000</v>
      </c>
      <c r="H1115" s="117">
        <v>2.16</v>
      </c>
      <c r="I1115" s="117">
        <v>34.659999999999997</v>
      </c>
    </row>
    <row r="1116" spans="1:9">
      <c r="A1116" s="116">
        <v>5904</v>
      </c>
      <c r="B1116" s="91">
        <v>2.2000000000000002</v>
      </c>
      <c r="C1116" s="92">
        <v>0.97747747747747749</v>
      </c>
      <c r="D1116" s="94">
        <v>94090909.090909079</v>
      </c>
      <c r="E1116" s="91">
        <f>VLOOKUP(5904,收盤價!A:C,3,0)</f>
        <v>342.5</v>
      </c>
      <c r="F1116" s="93">
        <v>32226136363.63636</v>
      </c>
      <c r="G1116" s="93">
        <v>10279859000</v>
      </c>
      <c r="H1116" s="117">
        <v>3.13</v>
      </c>
      <c r="I1116" s="117">
        <v>39.82</v>
      </c>
    </row>
    <row r="1117" spans="1:9">
      <c r="A1117" s="116">
        <v>5905</v>
      </c>
      <c r="B1117" s="91">
        <v>7.0000000000000007E-2</v>
      </c>
      <c r="C1117" s="92">
        <v>1</v>
      </c>
      <c r="D1117" s="94">
        <v>185714285.7142857</v>
      </c>
      <c r="E1117" s="91">
        <f>VLOOKUP(5905,收盤價!A:C,3,0)</f>
        <v>9.6</v>
      </c>
      <c r="F1117" s="93">
        <v>1782857142.8571427</v>
      </c>
      <c r="G1117" s="93">
        <v>1603373000</v>
      </c>
      <c r="H1117" s="117">
        <v>1.1100000000000001</v>
      </c>
      <c r="I1117" s="117">
        <v>34.29</v>
      </c>
    </row>
    <row r="1118" spans="1:9">
      <c r="A1118" s="116">
        <v>5906</v>
      </c>
      <c r="B1118" s="91">
        <v>-1.82</v>
      </c>
      <c r="C1118" s="92">
        <v>1</v>
      </c>
      <c r="D1118" s="94">
        <v>96153846.153846145</v>
      </c>
      <c r="E1118" s="91">
        <f>VLOOKUP(5906,收盤價!A:C,3,0)</f>
        <v>3.03</v>
      </c>
      <c r="F1118" s="93">
        <v>291346153.8461538</v>
      </c>
      <c r="G1118" s="93">
        <v>1357899000</v>
      </c>
      <c r="H1118" s="117">
        <v>0.21</v>
      </c>
      <c r="I1118" s="117">
        <v>0</v>
      </c>
    </row>
    <row r="1119" spans="1:9">
      <c r="A1119" s="116">
        <v>5907</v>
      </c>
      <c r="B1119" s="91">
        <v>1.1200000000000001</v>
      </c>
      <c r="C1119" s="92">
        <v>0.9387417218543046</v>
      </c>
      <c r="D1119" s="94">
        <v>197321428.57142857</v>
      </c>
      <c r="E1119" s="91">
        <f>VLOOKUP(5907,收盤價!A:C,3,0)</f>
        <v>39</v>
      </c>
      <c r="F1119" s="93">
        <v>7695535714.2857141</v>
      </c>
      <c r="G1119" s="93">
        <v>7589335000</v>
      </c>
      <c r="H1119" s="117">
        <v>1.01</v>
      </c>
      <c r="I1119" s="117">
        <v>9.27</v>
      </c>
    </row>
    <row r="1120" spans="1:9">
      <c r="A1120" s="116">
        <v>6101</v>
      </c>
      <c r="B1120" s="91">
        <v>-0.83</v>
      </c>
      <c r="C1120" s="92">
        <v>0.94623655913978499</v>
      </c>
      <c r="D1120" s="94">
        <v>59036144.578313254</v>
      </c>
      <c r="E1120" s="91">
        <f>VLOOKUP(6101,收盤價!A:C,3,0)</f>
        <v>19.649999999999999</v>
      </c>
      <c r="F1120" s="93">
        <v>1160060240.9638553</v>
      </c>
      <c r="G1120" s="93">
        <v>742841000</v>
      </c>
      <c r="H1120" s="117">
        <v>1.56</v>
      </c>
      <c r="I1120" s="117">
        <v>0</v>
      </c>
    </row>
    <row r="1121" spans="1:9">
      <c r="A1121" s="116">
        <v>6103</v>
      </c>
      <c r="B1121" s="91">
        <v>-7.0000000000000007E-2</v>
      </c>
      <c r="C1121" s="92">
        <v>1</v>
      </c>
      <c r="D1121" s="94">
        <v>57142857.142857134</v>
      </c>
      <c r="E1121" s="91">
        <f>VLOOKUP(6103,收盤價!A:C,3,0)</f>
        <v>6.9</v>
      </c>
      <c r="F1121" s="93">
        <v>394285714.28571427</v>
      </c>
      <c r="G1121" s="93">
        <v>248102000</v>
      </c>
      <c r="H1121" s="117">
        <v>1.59</v>
      </c>
      <c r="I1121" s="117">
        <v>0</v>
      </c>
    </row>
    <row r="1122" spans="1:9">
      <c r="A1122" s="116">
        <v>6104</v>
      </c>
      <c r="B1122" s="91">
        <v>0.57999999999999996</v>
      </c>
      <c r="C1122" s="92">
        <v>1</v>
      </c>
      <c r="D1122" s="94">
        <v>89655172.413793117</v>
      </c>
      <c r="E1122" s="91">
        <f>VLOOKUP(6104,收盤價!A:C,3,0)</f>
        <v>40.549999999999997</v>
      </c>
      <c r="F1122" s="93">
        <v>3635517241.3793106</v>
      </c>
      <c r="G1122" s="93">
        <v>2010582000</v>
      </c>
      <c r="H1122" s="117">
        <v>1.81</v>
      </c>
      <c r="I1122" s="117">
        <v>17.48</v>
      </c>
    </row>
    <row r="1123" spans="1:9">
      <c r="A1123" s="116">
        <v>6105</v>
      </c>
      <c r="B1123" s="91">
        <v>1.21</v>
      </c>
      <c r="C1123" s="92">
        <v>0.31192660550458717</v>
      </c>
      <c r="D1123" s="94">
        <v>105785123.96694215</v>
      </c>
      <c r="E1123" s="91">
        <f>VLOOKUP(6105,收盤價!A:C,3,0)</f>
        <v>41.8</v>
      </c>
      <c r="F1123" s="93">
        <v>4421818181.818181</v>
      </c>
      <c r="G1123" s="93">
        <v>5980219000</v>
      </c>
      <c r="H1123" s="117">
        <v>0.74</v>
      </c>
      <c r="I1123" s="117">
        <v>27.69</v>
      </c>
    </row>
    <row r="1124" spans="1:9">
      <c r="A1124" s="116">
        <v>6107</v>
      </c>
      <c r="B1124" s="91">
        <v>0.43</v>
      </c>
      <c r="C1124" s="92">
        <v>1</v>
      </c>
      <c r="D1124" s="94">
        <v>72093023.255813956</v>
      </c>
      <c r="E1124" s="91">
        <f>VLOOKUP(6107,收盤價!A:C,3,0)</f>
        <v>78</v>
      </c>
      <c r="F1124" s="93">
        <v>5623255813.9534883</v>
      </c>
      <c r="G1124" s="93">
        <v>7160401000</v>
      </c>
      <c r="H1124" s="117">
        <v>0.79</v>
      </c>
      <c r="I1124" s="117">
        <v>45.35</v>
      </c>
    </row>
    <row r="1125" spans="1:9">
      <c r="A1125" s="116">
        <v>6108</v>
      </c>
      <c r="B1125" s="91">
        <v>-0.38</v>
      </c>
      <c r="C1125" s="92">
        <v>0</v>
      </c>
      <c r="D1125" s="94">
        <v>157894736.84210527</v>
      </c>
      <c r="E1125" s="91">
        <f>VLOOKUP(6108,收盤價!A:C,3,0)</f>
        <v>13.55</v>
      </c>
      <c r="F1125" s="93">
        <v>2139473684.2105265</v>
      </c>
      <c r="G1125" s="93">
        <v>7919751000</v>
      </c>
      <c r="H1125" s="117">
        <v>0.27</v>
      </c>
      <c r="I1125" s="117">
        <v>0</v>
      </c>
    </row>
    <row r="1126" spans="1:9">
      <c r="A1126" s="116">
        <v>6109</v>
      </c>
      <c r="B1126" s="91">
        <v>0.52</v>
      </c>
      <c r="C1126" s="92">
        <v>0.47826086956521741</v>
      </c>
      <c r="D1126" s="94">
        <v>73076923.076923072</v>
      </c>
      <c r="E1126" s="91">
        <f>VLOOKUP(6109,收盤價!A:C,3,0)</f>
        <v>13</v>
      </c>
      <c r="F1126" s="93">
        <v>950000000</v>
      </c>
      <c r="G1126" s="93">
        <v>2012812000</v>
      </c>
      <c r="H1126" s="117">
        <v>0.47</v>
      </c>
      <c r="I1126" s="117">
        <v>13.07</v>
      </c>
    </row>
    <row r="1127" spans="1:9">
      <c r="A1127" s="116">
        <v>6111</v>
      </c>
      <c r="B1127" s="91">
        <v>2.08</v>
      </c>
      <c r="C1127" s="92">
        <v>0.1984126984126984</v>
      </c>
      <c r="D1127" s="94">
        <v>45673076.92307692</v>
      </c>
      <c r="E1127" s="91">
        <f>VLOOKUP(6111,收盤價!A:C,3,0)</f>
        <v>80.599999999999994</v>
      </c>
      <c r="F1127" s="93">
        <v>3681249999.9999995</v>
      </c>
      <c r="G1127" s="93">
        <v>646514000</v>
      </c>
      <c r="H1127" s="117">
        <v>5.69</v>
      </c>
      <c r="I1127" s="117">
        <v>48.82</v>
      </c>
    </row>
    <row r="1128" spans="1:9">
      <c r="A1128" s="116">
        <v>6112</v>
      </c>
      <c r="B1128" s="91">
        <v>0.7</v>
      </c>
      <c r="C1128" s="92">
        <v>0.94957983193277307</v>
      </c>
      <c r="D1128" s="94">
        <v>91428571.428571433</v>
      </c>
      <c r="E1128" s="91">
        <f>VLOOKUP(6112,收盤價!A:C,3,0)</f>
        <v>28</v>
      </c>
      <c r="F1128" s="93">
        <v>2560000000</v>
      </c>
      <c r="G1128" s="93">
        <v>8382838000</v>
      </c>
      <c r="H1128" s="117">
        <v>0.31</v>
      </c>
      <c r="I1128" s="117">
        <v>10.53</v>
      </c>
    </row>
    <row r="1129" spans="1:9">
      <c r="A1129" s="116">
        <v>6113</v>
      </c>
      <c r="B1129" s="91">
        <v>-0.61</v>
      </c>
      <c r="C1129" s="92">
        <v>1</v>
      </c>
      <c r="D1129" s="94">
        <v>50819672.131147541</v>
      </c>
      <c r="E1129" s="91">
        <f>VLOOKUP(6113,收盤價!A:C,3,0)</f>
        <v>9.08</v>
      </c>
      <c r="F1129" s="93">
        <v>461442622.95081967</v>
      </c>
      <c r="G1129" s="93">
        <v>1680787000</v>
      </c>
      <c r="H1129" s="117">
        <v>0.27</v>
      </c>
      <c r="I1129" s="117">
        <v>0</v>
      </c>
    </row>
    <row r="1130" spans="1:9">
      <c r="A1130" s="116">
        <v>6114</v>
      </c>
      <c r="B1130" s="91">
        <v>1.6</v>
      </c>
      <c r="C1130" s="92">
        <v>1</v>
      </c>
      <c r="D1130" s="94">
        <v>36250000</v>
      </c>
      <c r="E1130" s="91">
        <f>VLOOKUP(6114,收盤價!A:C,3,0)</f>
        <v>54.9</v>
      </c>
      <c r="F1130" s="93">
        <v>1990125000</v>
      </c>
      <c r="G1130" s="93">
        <v>1607419000</v>
      </c>
      <c r="H1130" s="117">
        <v>1.24</v>
      </c>
      <c r="I1130" s="117">
        <v>8.58</v>
      </c>
    </row>
    <row r="1131" spans="1:9">
      <c r="A1131" s="116">
        <v>6115</v>
      </c>
      <c r="B1131" s="91">
        <v>0.55000000000000004</v>
      </c>
      <c r="C1131" s="92">
        <v>0.87709497206703912</v>
      </c>
      <c r="D1131" s="94">
        <v>178181818.18181816</v>
      </c>
      <c r="E1131" s="91">
        <f>VLOOKUP(6115,收盤價!A:C,3,0)</f>
        <v>32.299999999999997</v>
      </c>
      <c r="F1131" s="93">
        <v>5755272727.2727261</v>
      </c>
      <c r="G1131" s="93">
        <v>7219478000</v>
      </c>
      <c r="H1131" s="117">
        <v>0.8</v>
      </c>
      <c r="I1131" s="117">
        <v>16.739999999999998</v>
      </c>
    </row>
    <row r="1132" spans="1:9">
      <c r="A1132" s="116">
        <v>6116</v>
      </c>
      <c r="B1132" s="91">
        <v>-0.26</v>
      </c>
      <c r="C1132" s="92">
        <v>1</v>
      </c>
      <c r="D1132" s="94">
        <v>3276923076.9230766</v>
      </c>
      <c r="E1132" s="91">
        <f>VLOOKUP(6116,收盤價!A:C,3,0)</f>
        <v>4.2699999999999996</v>
      </c>
      <c r="F1132" s="93">
        <v>13992461538.461536</v>
      </c>
      <c r="G1132" s="93">
        <v>20379479000</v>
      </c>
      <c r="H1132" s="117">
        <v>0.69</v>
      </c>
      <c r="I1132" s="117">
        <v>0</v>
      </c>
    </row>
    <row r="1133" spans="1:9">
      <c r="A1133" s="116">
        <v>6117</v>
      </c>
      <c r="B1133" s="91">
        <v>-0.84</v>
      </c>
      <c r="C1133" s="92">
        <v>0.97637795275590555</v>
      </c>
      <c r="D1133" s="94">
        <v>88095238.095238104</v>
      </c>
      <c r="E1133" s="91">
        <f>VLOOKUP(6117,收盤價!A:C,3,0)</f>
        <v>15</v>
      </c>
      <c r="F1133" s="93">
        <v>1321428571.4285715</v>
      </c>
      <c r="G1133" s="93">
        <v>2040430000</v>
      </c>
      <c r="H1133" s="117">
        <v>0.65</v>
      </c>
      <c r="I1133" s="117">
        <v>0</v>
      </c>
    </row>
    <row r="1134" spans="1:9">
      <c r="A1134" s="116">
        <v>6118</v>
      </c>
      <c r="B1134" s="91">
        <v>0.05</v>
      </c>
      <c r="C1134" s="92">
        <v>1</v>
      </c>
      <c r="D1134" s="94">
        <v>80000000</v>
      </c>
      <c r="E1134" s="91">
        <f>VLOOKUP(6118,收盤價!A:C,3,0)</f>
        <v>8.8000000000000007</v>
      </c>
      <c r="F1134" s="93">
        <v>704000000</v>
      </c>
      <c r="G1134" s="93">
        <v>7700838000</v>
      </c>
      <c r="H1134" s="117">
        <v>0.09</v>
      </c>
      <c r="I1134" s="117">
        <v>44</v>
      </c>
    </row>
    <row r="1135" spans="1:9">
      <c r="A1135" s="116">
        <v>5534</v>
      </c>
      <c r="B1135" s="91">
        <v>-0.02</v>
      </c>
      <c r="C1135" s="92">
        <v>0</v>
      </c>
      <c r="D1135" s="94">
        <v>250000000</v>
      </c>
      <c r="E1135" s="91">
        <f>VLOOKUP(5534,收盤價!A:C,3,0)</f>
        <v>45.7</v>
      </c>
      <c r="F1135" s="93">
        <v>11425000000</v>
      </c>
      <c r="G1135" s="93">
        <v>5398818000</v>
      </c>
      <c r="H1135" s="117">
        <v>2.12</v>
      </c>
      <c r="I1135" s="117">
        <v>0</v>
      </c>
    </row>
    <row r="1136" spans="1:9">
      <c r="A1136" s="116">
        <v>1234</v>
      </c>
      <c r="B1136" s="91">
        <v>0.38</v>
      </c>
      <c r="C1136" s="92">
        <v>0</v>
      </c>
      <c r="D1136" s="94">
        <v>402631578.94736844</v>
      </c>
      <c r="E1136" s="91">
        <f>VLOOKUP(1234,收盤價!A:C,3,0)</f>
        <v>32.200000000000003</v>
      </c>
      <c r="F1136" s="93">
        <v>12964736842.105265</v>
      </c>
      <c r="G1136" s="93">
        <v>6213133000</v>
      </c>
      <c r="H1136" s="117">
        <v>2.09</v>
      </c>
      <c r="I1136" s="117">
        <v>0</v>
      </c>
    </row>
    <row r="1137" spans="1:9">
      <c r="A1137" s="116">
        <v>6122</v>
      </c>
      <c r="B1137" s="91">
        <v>-0.13</v>
      </c>
      <c r="C1137" s="92">
        <v>0.625</v>
      </c>
      <c r="D1137" s="94">
        <v>69230769.230769232</v>
      </c>
      <c r="E1137" s="91">
        <f>VLOOKUP(6122,收盤價!A:C,3,0)</f>
        <v>7.13</v>
      </c>
      <c r="F1137" s="93">
        <v>493615384.61538464</v>
      </c>
      <c r="G1137" s="93">
        <v>996767000</v>
      </c>
      <c r="H1137" s="117">
        <v>0.5</v>
      </c>
      <c r="I1137" s="117">
        <v>0</v>
      </c>
    </row>
    <row r="1138" spans="1:9">
      <c r="A1138" s="116">
        <v>6123</v>
      </c>
      <c r="B1138" s="91">
        <v>0.42</v>
      </c>
      <c r="C1138" s="92">
        <v>1</v>
      </c>
      <c r="D1138" s="94">
        <v>54761904.761904761</v>
      </c>
      <c r="E1138" s="91">
        <f>VLOOKUP(6123,收盤價!A:C,3,0)</f>
        <v>26.75</v>
      </c>
      <c r="F1138" s="93">
        <v>1464880952.3809524</v>
      </c>
      <c r="G1138" s="93">
        <v>3817598000</v>
      </c>
      <c r="H1138" s="117">
        <v>0.38</v>
      </c>
      <c r="I1138" s="117">
        <v>15.92</v>
      </c>
    </row>
    <row r="1139" spans="1:9">
      <c r="A1139" s="116">
        <v>6124</v>
      </c>
      <c r="B1139" s="91">
        <v>-0.09</v>
      </c>
      <c r="C1139" s="92">
        <v>1</v>
      </c>
      <c r="D1139" s="94">
        <v>177777777.77777779</v>
      </c>
      <c r="E1139" s="91">
        <f>VLOOKUP(6124,收盤價!A:C,3,0)</f>
        <v>23.7</v>
      </c>
      <c r="F1139" s="93">
        <v>4213333333.3333335</v>
      </c>
      <c r="G1139" s="93">
        <v>1838696000</v>
      </c>
      <c r="H1139" s="117">
        <v>2.29</v>
      </c>
      <c r="I1139" s="117">
        <v>0</v>
      </c>
    </row>
    <row r="1140" spans="1:9">
      <c r="A1140" s="116">
        <v>9925</v>
      </c>
      <c r="B1140" s="91">
        <v>0.85</v>
      </c>
      <c r="C1140" s="92">
        <v>0.66064981949458479</v>
      </c>
      <c r="D1140" s="94">
        <v>382352941.17647058</v>
      </c>
      <c r="E1140" s="91">
        <f>VLOOKUP(9925,收盤價!A:C,3,0)</f>
        <v>39</v>
      </c>
      <c r="F1140" s="93">
        <v>14911764705.882353</v>
      </c>
      <c r="G1140" s="93">
        <v>6933743000</v>
      </c>
      <c r="H1140" s="117">
        <v>2.15</v>
      </c>
      <c r="I1140" s="117">
        <v>17.36</v>
      </c>
    </row>
    <row r="1141" spans="1:9">
      <c r="A1141" s="116">
        <v>6126</v>
      </c>
      <c r="B1141" s="91">
        <v>-0.57999999999999996</v>
      </c>
      <c r="C1141" s="92">
        <v>1</v>
      </c>
      <c r="D1141" s="94">
        <v>112068965.51724139</v>
      </c>
      <c r="E1141" s="91">
        <f>VLOOKUP(6126,收盤價!A:C,3,0)</f>
        <v>8.2100000000000009</v>
      </c>
      <c r="F1141" s="93">
        <v>920086206.89655185</v>
      </c>
      <c r="G1141" s="93">
        <v>3015407000</v>
      </c>
      <c r="H1141" s="117">
        <v>0.31</v>
      </c>
      <c r="I1141" s="117">
        <v>0</v>
      </c>
    </row>
    <row r="1142" spans="1:9">
      <c r="A1142" s="116">
        <v>6127</v>
      </c>
      <c r="B1142" s="91">
        <v>7.0000000000000007E-2</v>
      </c>
      <c r="C1142" s="92">
        <v>1</v>
      </c>
      <c r="D1142" s="94">
        <v>85714285.714285702</v>
      </c>
      <c r="E1142" s="91">
        <f>VLOOKUP(6127,收盤價!A:C,3,0)</f>
        <v>10.9</v>
      </c>
      <c r="F1142" s="93">
        <v>934285714.28571415</v>
      </c>
      <c r="G1142" s="93">
        <v>1077762000</v>
      </c>
      <c r="H1142" s="117">
        <v>0.87</v>
      </c>
      <c r="I1142" s="117">
        <v>38.93</v>
      </c>
    </row>
    <row r="1143" spans="1:9">
      <c r="A1143" s="116">
        <v>6128</v>
      </c>
      <c r="B1143" s="91">
        <v>0.81</v>
      </c>
      <c r="C1143" s="92">
        <v>1</v>
      </c>
      <c r="D1143" s="94">
        <v>91358024.691358015</v>
      </c>
      <c r="E1143" s="91">
        <f>VLOOKUP(6128,收盤價!A:C,3,0)</f>
        <v>34.4</v>
      </c>
      <c r="F1143" s="93">
        <v>3142716049.3827157</v>
      </c>
      <c r="G1143" s="93">
        <v>1910070000</v>
      </c>
      <c r="H1143" s="117">
        <v>1.65</v>
      </c>
      <c r="I1143" s="117">
        <v>10.62</v>
      </c>
    </row>
    <row r="1144" spans="1:9">
      <c r="A1144" s="116">
        <v>6129</v>
      </c>
      <c r="B1144" s="91">
        <v>-0.43</v>
      </c>
      <c r="C1144" s="92">
        <v>0.59055118110236215</v>
      </c>
      <c r="D1144" s="94">
        <v>181395348.83720931</v>
      </c>
      <c r="E1144" s="91">
        <f>VLOOKUP(6129,收盤價!A:C,3,0)</f>
        <v>7.18</v>
      </c>
      <c r="F1144" s="93">
        <v>1302418604.6511629</v>
      </c>
      <c r="G1144" s="93">
        <v>1319950000</v>
      </c>
      <c r="H1144" s="117">
        <v>0.99</v>
      </c>
      <c r="I1144" s="117">
        <v>0</v>
      </c>
    </row>
    <row r="1145" spans="1:9">
      <c r="A1145" s="116">
        <v>6130</v>
      </c>
      <c r="B1145" s="91">
        <v>-0.02</v>
      </c>
      <c r="C1145" s="92">
        <v>0</v>
      </c>
      <c r="D1145" s="94">
        <v>0</v>
      </c>
      <c r="E1145" s="91">
        <f>VLOOKUP(6130,收盤價!A:C,3,0)</f>
        <v>27.05</v>
      </c>
      <c r="F1145" s="93">
        <v>0</v>
      </c>
      <c r="G1145" s="93">
        <v>262789000</v>
      </c>
      <c r="H1145" s="117">
        <v>0</v>
      </c>
      <c r="I1145" s="117">
        <v>0</v>
      </c>
    </row>
    <row r="1146" spans="1:9">
      <c r="A1146" s="116">
        <v>6131</v>
      </c>
      <c r="B1146" s="91">
        <v>-0.4</v>
      </c>
      <c r="C1146" s="92">
        <v>1</v>
      </c>
      <c r="D1146" s="94">
        <v>100000000</v>
      </c>
      <c r="E1146" s="91">
        <f>VLOOKUP(6131,收盤價!A:C,3,0)</f>
        <v>23.35</v>
      </c>
      <c r="F1146" s="93">
        <v>2335000000</v>
      </c>
      <c r="G1146" s="93">
        <v>338060000</v>
      </c>
      <c r="H1146" s="117">
        <v>6.91</v>
      </c>
      <c r="I1146" s="117">
        <v>0</v>
      </c>
    </row>
    <row r="1147" spans="1:9">
      <c r="A1147" s="116">
        <v>6133</v>
      </c>
      <c r="B1147" s="91">
        <v>7.0000000000000007E-2</v>
      </c>
      <c r="C1147" s="92">
        <v>1</v>
      </c>
      <c r="D1147" s="94">
        <v>114285714.28571427</v>
      </c>
      <c r="E1147" s="91">
        <f>VLOOKUP(6133,收盤價!A:C,3,0)</f>
        <v>10.65</v>
      </c>
      <c r="F1147" s="93">
        <v>1217142857.1428571</v>
      </c>
      <c r="G1147" s="93">
        <v>1240515000</v>
      </c>
      <c r="H1147" s="117">
        <v>0.98</v>
      </c>
      <c r="I1147" s="117">
        <v>38.04</v>
      </c>
    </row>
    <row r="1148" spans="1:9">
      <c r="A1148" s="116">
        <v>6134</v>
      </c>
      <c r="B1148" s="91">
        <v>-0.39</v>
      </c>
      <c r="C1148" s="92">
        <v>0.97333333333333338</v>
      </c>
      <c r="D1148" s="94">
        <v>89743589.743589744</v>
      </c>
      <c r="E1148" s="91">
        <f>VLOOKUP(6134,收盤價!A:C,3,0)</f>
        <v>6.78</v>
      </c>
      <c r="F1148" s="93">
        <v>608461538.46153843</v>
      </c>
      <c r="G1148" s="93">
        <v>1735129000</v>
      </c>
      <c r="H1148" s="117">
        <v>0.35</v>
      </c>
      <c r="I1148" s="117">
        <v>0</v>
      </c>
    </row>
    <row r="1149" spans="1:9">
      <c r="A1149" s="116">
        <v>6136</v>
      </c>
      <c r="B1149" s="91">
        <v>0.6</v>
      </c>
      <c r="C1149" s="92">
        <v>0.15294117647058825</v>
      </c>
      <c r="D1149" s="94">
        <v>115000000</v>
      </c>
      <c r="E1149" s="91">
        <f>VLOOKUP(6136,收盤價!A:C,3,0)</f>
        <v>24.2</v>
      </c>
      <c r="F1149" s="93">
        <v>2783000000</v>
      </c>
      <c r="G1149" s="93">
        <v>725156000</v>
      </c>
      <c r="H1149" s="117">
        <v>3.84</v>
      </c>
      <c r="I1149" s="117">
        <v>65.930000000000007</v>
      </c>
    </row>
    <row r="1150" spans="1:9">
      <c r="A1150" s="116">
        <v>6138</v>
      </c>
      <c r="B1150" s="91">
        <v>0.09</v>
      </c>
      <c r="C1150" s="92">
        <v>0.86486486486486491</v>
      </c>
      <c r="D1150" s="94">
        <v>100000000</v>
      </c>
      <c r="E1150" s="91">
        <f>VLOOKUP(6138,收盤價!A:C,3,0)</f>
        <v>19.95</v>
      </c>
      <c r="F1150" s="93">
        <v>1995000000</v>
      </c>
      <c r="G1150" s="93">
        <v>2913764000</v>
      </c>
      <c r="H1150" s="117">
        <v>0.68</v>
      </c>
      <c r="I1150" s="117">
        <v>64.08</v>
      </c>
    </row>
    <row r="1151" spans="1:9">
      <c r="A1151" s="116">
        <v>6139</v>
      </c>
      <c r="B1151" s="91">
        <v>0.16</v>
      </c>
      <c r="C1151" s="92">
        <v>0</v>
      </c>
      <c r="D1151" s="94">
        <v>193750000</v>
      </c>
      <c r="E1151" s="91">
        <f>VLOOKUP(6139,收盤價!A:C,3,0)</f>
        <v>19.149999999999999</v>
      </c>
      <c r="F1151" s="93">
        <v>3710312499.9999995</v>
      </c>
      <c r="G1151" s="93">
        <v>15816573000</v>
      </c>
      <c r="H1151" s="117">
        <v>0.23</v>
      </c>
      <c r="I1151" s="117">
        <v>0</v>
      </c>
    </row>
    <row r="1152" spans="1:9">
      <c r="A1152" s="116">
        <v>6140</v>
      </c>
      <c r="B1152" s="91">
        <v>-0.02</v>
      </c>
      <c r="C1152" s="92">
        <v>1</v>
      </c>
      <c r="D1152" s="94">
        <v>50000000</v>
      </c>
      <c r="E1152" s="91">
        <f>VLOOKUP(6140,收盤價!A:C,3,0)</f>
        <v>11.8</v>
      </c>
      <c r="F1152" s="93">
        <v>590000000</v>
      </c>
      <c r="G1152" s="93">
        <v>1396986000</v>
      </c>
      <c r="H1152" s="117">
        <v>0.42</v>
      </c>
      <c r="I1152" s="117">
        <v>0</v>
      </c>
    </row>
    <row r="1153" spans="1:9">
      <c r="A1153" s="116">
        <v>6141</v>
      </c>
      <c r="B1153" s="91">
        <v>-0.56000000000000005</v>
      </c>
      <c r="C1153" s="92">
        <v>0.92903225806451617</v>
      </c>
      <c r="D1153" s="94">
        <v>132142857.14285713</v>
      </c>
      <c r="E1153" s="91">
        <f>VLOOKUP(6141,收盤價!A:C,3,0)</f>
        <v>8.9</v>
      </c>
      <c r="F1153" s="93">
        <v>1176071428.5714285</v>
      </c>
      <c r="G1153" s="93">
        <v>2691946000</v>
      </c>
      <c r="H1153" s="117">
        <v>0.44</v>
      </c>
      <c r="I1153" s="117">
        <v>0</v>
      </c>
    </row>
    <row r="1154" spans="1:9">
      <c r="A1154" s="116">
        <v>2605</v>
      </c>
      <c r="B1154" s="91">
        <v>0.33</v>
      </c>
      <c r="C1154" s="92">
        <v>0.99774266365688491</v>
      </c>
      <c r="D1154" s="94">
        <v>572727272.72727275</v>
      </c>
      <c r="E1154" s="91">
        <f>VLOOKUP(2605,收盤價!A:C,3,0)</f>
        <v>18.649999999999999</v>
      </c>
      <c r="F1154" s="93">
        <v>10681363636.363636</v>
      </c>
      <c r="G1154" s="93">
        <v>5000164000</v>
      </c>
      <c r="H1154" s="117">
        <v>2.14</v>
      </c>
      <c r="I1154" s="117">
        <v>14.16</v>
      </c>
    </row>
    <row r="1155" spans="1:9">
      <c r="A1155" s="116">
        <v>6143</v>
      </c>
      <c r="B1155" s="91">
        <v>-0.36</v>
      </c>
      <c r="C1155" s="92">
        <v>1</v>
      </c>
      <c r="D1155" s="94">
        <v>83333333.333333343</v>
      </c>
      <c r="E1155" s="91">
        <f>VLOOKUP(6143,收盤價!A:C,3,0)</f>
        <v>67.7</v>
      </c>
      <c r="F1155" s="93">
        <v>5641666666.6666679</v>
      </c>
      <c r="G1155" s="93">
        <v>5002287000</v>
      </c>
      <c r="H1155" s="117">
        <v>1.1299999999999999</v>
      </c>
      <c r="I1155" s="117">
        <v>0</v>
      </c>
    </row>
    <row r="1156" spans="1:9">
      <c r="A1156" s="116">
        <v>6144</v>
      </c>
      <c r="B1156" s="91">
        <v>-0.04</v>
      </c>
      <c r="C1156" s="92">
        <v>0</v>
      </c>
      <c r="D1156" s="94">
        <v>75000000</v>
      </c>
      <c r="E1156" s="91">
        <f>VLOOKUP(6144,收盤價!A:C,3,0)</f>
        <v>0</v>
      </c>
      <c r="F1156" s="93">
        <v>0</v>
      </c>
      <c r="G1156" s="93">
        <v>800965000</v>
      </c>
      <c r="H1156" s="117">
        <v>0</v>
      </c>
      <c r="I1156" s="117">
        <v>0</v>
      </c>
    </row>
    <row r="1157" spans="1:9">
      <c r="A1157" s="116">
        <v>6145</v>
      </c>
      <c r="B1157" s="91">
        <v>0.01</v>
      </c>
      <c r="C1157" s="92">
        <v>0.37614678899082571</v>
      </c>
      <c r="D1157" s="94">
        <v>100000000</v>
      </c>
      <c r="E1157" s="91">
        <f>VLOOKUP(6145,收盤價!A:C,3,0)</f>
        <v>13.5</v>
      </c>
      <c r="F1157" s="93">
        <v>1350000000</v>
      </c>
      <c r="G1157" s="93">
        <v>9773983000</v>
      </c>
      <c r="H1157" s="117">
        <v>0.14000000000000001</v>
      </c>
      <c r="I1157" s="117">
        <v>897.26</v>
      </c>
    </row>
    <row r="1158" spans="1:9">
      <c r="A1158" s="116">
        <v>6146</v>
      </c>
      <c r="B1158" s="91">
        <v>2.4700000000000002</v>
      </c>
      <c r="C1158" s="92">
        <v>0.99175824175824179</v>
      </c>
      <c r="D1158" s="94">
        <v>84210526.315789461</v>
      </c>
      <c r="E1158" s="91">
        <f>VLOOKUP(6146,收盤價!A:C,3,0)</f>
        <v>182</v>
      </c>
      <c r="F1158" s="93">
        <v>15326315789.473682</v>
      </c>
      <c r="G1158" s="93">
        <v>3181823000</v>
      </c>
      <c r="H1158" s="117">
        <v>4.82</v>
      </c>
      <c r="I1158" s="117">
        <v>18.57</v>
      </c>
    </row>
    <row r="1159" spans="1:9">
      <c r="A1159" s="116">
        <v>2524</v>
      </c>
      <c r="B1159" s="91">
        <v>0.03</v>
      </c>
      <c r="C1159" s="92">
        <v>1</v>
      </c>
      <c r="D1159" s="94">
        <v>333333333.33333337</v>
      </c>
      <c r="E1159" s="91">
        <f>VLOOKUP(2524,收盤價!A:C,3,0)</f>
        <v>19</v>
      </c>
      <c r="F1159" s="93">
        <v>6333333333.333334</v>
      </c>
      <c r="G1159" s="93">
        <v>2874290000</v>
      </c>
      <c r="H1159" s="117">
        <v>2.2000000000000002</v>
      </c>
      <c r="I1159" s="117">
        <v>158.33000000000001</v>
      </c>
    </row>
    <row r="1160" spans="1:9">
      <c r="A1160" s="116">
        <v>6148</v>
      </c>
      <c r="B1160" s="91">
        <v>0.06</v>
      </c>
      <c r="C1160" s="92">
        <v>1</v>
      </c>
      <c r="D1160" s="94">
        <v>83333333.333333343</v>
      </c>
      <c r="E1160" s="91">
        <f>VLOOKUP(6148,收盤價!A:C,3,0)</f>
        <v>7.86</v>
      </c>
      <c r="F1160" s="93">
        <v>655000000.00000012</v>
      </c>
      <c r="G1160" s="93">
        <v>5092381000</v>
      </c>
      <c r="H1160" s="117">
        <v>0.13</v>
      </c>
      <c r="I1160" s="117">
        <v>32.75</v>
      </c>
    </row>
    <row r="1161" spans="1:9">
      <c r="A1161" s="116">
        <v>6150</v>
      </c>
      <c r="B1161" s="91">
        <v>-2.27</v>
      </c>
      <c r="C1161" s="92">
        <v>0.86923076923076925</v>
      </c>
      <c r="D1161" s="94">
        <v>50660792.951541848</v>
      </c>
      <c r="E1161" s="91">
        <f>VLOOKUP(6150,收盤價!A:C,3,0)</f>
        <v>7.61</v>
      </c>
      <c r="F1161" s="93">
        <v>385528634.36123347</v>
      </c>
      <c r="G1161" s="93">
        <v>2807491000</v>
      </c>
      <c r="H1161" s="117">
        <v>0.14000000000000001</v>
      </c>
      <c r="I1161" s="117">
        <v>0</v>
      </c>
    </row>
    <row r="1162" spans="1:9">
      <c r="A1162" s="116">
        <v>6151</v>
      </c>
      <c r="B1162" s="91">
        <v>0.59</v>
      </c>
      <c r="C1162" s="92">
        <v>1</v>
      </c>
      <c r="D1162" s="94">
        <v>55932203.389830515</v>
      </c>
      <c r="E1162" s="91">
        <f>VLOOKUP(6151,收盤價!A:C,3,0)</f>
        <v>22.65</v>
      </c>
      <c r="F1162" s="93">
        <v>1266864406.7796612</v>
      </c>
      <c r="G1162" s="93">
        <v>1989822000</v>
      </c>
      <c r="H1162" s="117">
        <v>0.64</v>
      </c>
      <c r="I1162" s="117">
        <v>9.6</v>
      </c>
    </row>
    <row r="1163" spans="1:9">
      <c r="A1163" s="116">
        <v>6152</v>
      </c>
      <c r="B1163" s="91">
        <v>-0.6</v>
      </c>
      <c r="C1163" s="92">
        <v>0.9726027397260274</v>
      </c>
      <c r="D1163" s="94">
        <v>170000000</v>
      </c>
      <c r="E1163" s="91">
        <f>VLOOKUP(6152,收盤價!A:C,3,0)</f>
        <v>9.0500000000000007</v>
      </c>
      <c r="F1163" s="93">
        <v>1538500000.0000002</v>
      </c>
      <c r="G1163" s="93">
        <v>8022336000</v>
      </c>
      <c r="H1163" s="117">
        <v>0.19</v>
      </c>
      <c r="I1163" s="117">
        <v>0</v>
      </c>
    </row>
    <row r="1164" spans="1:9">
      <c r="A1164" s="116">
        <v>2608</v>
      </c>
      <c r="B1164" s="91">
        <v>0.89</v>
      </c>
      <c r="C1164" s="92">
        <v>0.64040114613180521</v>
      </c>
      <c r="D1164" s="94">
        <v>485393258.42696631</v>
      </c>
      <c r="E1164" s="91">
        <f>VLOOKUP(2608,收盤價!A:C,3,0)</f>
        <v>38.9</v>
      </c>
      <c r="F1164" s="93">
        <v>18881797752.80899</v>
      </c>
      <c r="G1164" s="93">
        <v>8583324000</v>
      </c>
      <c r="H1164" s="117">
        <v>2.2000000000000002</v>
      </c>
      <c r="I1164" s="117">
        <v>17.059999999999999</v>
      </c>
    </row>
    <row r="1165" spans="1:9">
      <c r="A1165" s="116">
        <v>6154</v>
      </c>
      <c r="B1165" s="91">
        <v>0.23</v>
      </c>
      <c r="C1165" s="92">
        <v>0.95652173913043481</v>
      </c>
      <c r="D1165" s="94">
        <v>82608695.652173907</v>
      </c>
      <c r="E1165" s="91">
        <f>VLOOKUP(6154,收盤價!A:C,3,0)</f>
        <v>17.100000000000001</v>
      </c>
      <c r="F1165" s="93">
        <v>1412608695.652174</v>
      </c>
      <c r="G1165" s="93">
        <v>5325163000</v>
      </c>
      <c r="H1165" s="117">
        <v>0.27</v>
      </c>
      <c r="I1165" s="117">
        <v>19.43</v>
      </c>
    </row>
    <row r="1166" spans="1:9">
      <c r="A1166" s="116">
        <v>6155</v>
      </c>
      <c r="B1166" s="91">
        <v>0.2</v>
      </c>
      <c r="C1166" s="92">
        <v>1</v>
      </c>
      <c r="D1166" s="94">
        <v>85000000</v>
      </c>
      <c r="E1166" s="91">
        <f>VLOOKUP(6155,收盤價!A:C,3,0)</f>
        <v>18.3</v>
      </c>
      <c r="F1166" s="93">
        <v>1555500000</v>
      </c>
      <c r="G1166" s="93">
        <v>673238000</v>
      </c>
      <c r="H1166" s="117">
        <v>2.31</v>
      </c>
      <c r="I1166" s="117">
        <v>22.88</v>
      </c>
    </row>
    <row r="1167" spans="1:9">
      <c r="A1167" s="116">
        <v>6156</v>
      </c>
      <c r="B1167" s="91">
        <v>0.39</v>
      </c>
      <c r="C1167" s="92">
        <v>0.55319148936170215</v>
      </c>
      <c r="D1167" s="94">
        <v>76923076.923076928</v>
      </c>
      <c r="E1167" s="91">
        <f>VLOOKUP(6156,收盤價!A:C,3,0)</f>
        <v>13.15</v>
      </c>
      <c r="F1167" s="93">
        <v>1011538461.5384617</v>
      </c>
      <c r="G1167" s="93">
        <v>4326202000</v>
      </c>
      <c r="H1167" s="117">
        <v>0.23</v>
      </c>
      <c r="I1167" s="117">
        <v>15.24</v>
      </c>
    </row>
    <row r="1168" spans="1:9">
      <c r="A1168" s="116">
        <v>6158</v>
      </c>
      <c r="B1168" s="91">
        <v>-0.56000000000000005</v>
      </c>
      <c r="C1168" s="92">
        <v>1</v>
      </c>
      <c r="D1168" s="94">
        <v>112499999.99999999</v>
      </c>
      <c r="E1168" s="91">
        <f>VLOOKUP(6158,收盤價!A:C,3,0)</f>
        <v>11</v>
      </c>
      <c r="F1168" s="93">
        <v>1237499999.9999998</v>
      </c>
      <c r="G1168" s="93">
        <v>2330274000</v>
      </c>
      <c r="H1168" s="117">
        <v>0.53</v>
      </c>
      <c r="I1168" s="117">
        <v>0</v>
      </c>
    </row>
    <row r="1169" spans="1:9">
      <c r="A1169" s="116">
        <v>6160</v>
      </c>
      <c r="B1169" s="91">
        <v>-0.15</v>
      </c>
      <c r="C1169" s="92">
        <v>0.875</v>
      </c>
      <c r="D1169" s="94">
        <v>66666666.666666672</v>
      </c>
      <c r="E1169" s="91">
        <f>VLOOKUP(6160,收盤價!A:C,3,0)</f>
        <v>15.3</v>
      </c>
      <c r="F1169" s="93">
        <v>1020000000.0000001</v>
      </c>
      <c r="G1169" s="93">
        <v>1113946000</v>
      </c>
      <c r="H1169" s="117">
        <v>0.92</v>
      </c>
      <c r="I1169" s="117">
        <v>0</v>
      </c>
    </row>
    <row r="1170" spans="1:9">
      <c r="A1170" s="116">
        <v>6161</v>
      </c>
      <c r="B1170" s="91">
        <v>7.0000000000000007E-2</v>
      </c>
      <c r="C1170" s="92">
        <v>1</v>
      </c>
      <c r="D1170" s="94">
        <v>114285714.28571427</v>
      </c>
      <c r="E1170" s="91">
        <f>VLOOKUP(6161,收盤價!A:C,3,0)</f>
        <v>6.97</v>
      </c>
      <c r="F1170" s="93">
        <v>796571428.57142842</v>
      </c>
      <c r="G1170" s="93">
        <v>3225658000</v>
      </c>
      <c r="H1170" s="117">
        <v>0.25</v>
      </c>
      <c r="I1170" s="117">
        <v>24.89</v>
      </c>
    </row>
    <row r="1171" spans="1:9">
      <c r="A1171" s="116">
        <v>6163</v>
      </c>
      <c r="B1171" s="91">
        <v>0.5</v>
      </c>
      <c r="C1171" s="92">
        <v>0.4</v>
      </c>
      <c r="D1171" s="94">
        <v>102000000</v>
      </c>
      <c r="E1171" s="91">
        <f>VLOOKUP(6163,收盤價!A:C,3,0)</f>
        <v>11.6</v>
      </c>
      <c r="F1171" s="93">
        <v>1183200000</v>
      </c>
      <c r="G1171" s="93">
        <v>3639450000</v>
      </c>
      <c r="H1171" s="117">
        <v>0.33</v>
      </c>
      <c r="I1171" s="117">
        <v>14.5</v>
      </c>
    </row>
    <row r="1172" spans="1:9">
      <c r="A1172" s="116">
        <v>6164</v>
      </c>
      <c r="B1172" s="91">
        <v>0.21</v>
      </c>
      <c r="C1172" s="92">
        <v>1</v>
      </c>
      <c r="D1172" s="94">
        <v>119047619.04761904</v>
      </c>
      <c r="E1172" s="91">
        <f>VLOOKUP(6164,收盤價!A:C,3,0)</f>
        <v>11.5</v>
      </c>
      <c r="F1172" s="93">
        <v>1369047619.0476191</v>
      </c>
      <c r="G1172" s="93">
        <v>1744898000</v>
      </c>
      <c r="H1172" s="117">
        <v>0.78</v>
      </c>
      <c r="I1172" s="117">
        <v>13.69</v>
      </c>
    </row>
    <row r="1173" spans="1:9">
      <c r="A1173" s="116">
        <v>6165</v>
      </c>
      <c r="B1173" s="91">
        <v>-0.16</v>
      </c>
      <c r="C1173" s="92">
        <v>1</v>
      </c>
      <c r="D1173" s="94">
        <v>93750000</v>
      </c>
      <c r="E1173" s="91">
        <f>VLOOKUP(6165,收盤價!A:C,3,0)</f>
        <v>12.75</v>
      </c>
      <c r="F1173" s="93">
        <v>1195312500</v>
      </c>
      <c r="G1173" s="93">
        <v>303947000</v>
      </c>
      <c r="H1173" s="117">
        <v>3.93</v>
      </c>
      <c r="I1173" s="117">
        <v>0</v>
      </c>
    </row>
    <row r="1174" spans="1:9">
      <c r="A1174" s="116">
        <v>1442</v>
      </c>
      <c r="B1174" s="91">
        <v>1.4</v>
      </c>
      <c r="C1174" s="92">
        <v>0.99709302325581395</v>
      </c>
      <c r="D1174" s="94">
        <v>218571428.5714286</v>
      </c>
      <c r="E1174" s="91">
        <f>VLOOKUP(1442,收盤價!A:C,3,0)</f>
        <v>18.8</v>
      </c>
      <c r="F1174" s="93">
        <v>4109142857.1428576</v>
      </c>
      <c r="G1174" s="93">
        <v>1756602000</v>
      </c>
      <c r="H1174" s="117">
        <v>2.34</v>
      </c>
      <c r="I1174" s="117">
        <v>3.37</v>
      </c>
    </row>
    <row r="1175" spans="1:9">
      <c r="A1175" s="116">
        <v>6167</v>
      </c>
      <c r="B1175" s="91">
        <v>0.08</v>
      </c>
      <c r="C1175" s="92">
        <v>1</v>
      </c>
      <c r="D1175" s="94">
        <v>150000000</v>
      </c>
      <c r="E1175" s="91">
        <f>VLOOKUP(6167,收盤價!A:C,3,0)</f>
        <v>4.17</v>
      </c>
      <c r="F1175" s="93">
        <v>625500000</v>
      </c>
      <c r="G1175" s="93">
        <v>1978194000</v>
      </c>
      <c r="H1175" s="117">
        <v>0.32</v>
      </c>
      <c r="I1175" s="117">
        <v>13.03</v>
      </c>
    </row>
    <row r="1176" spans="1:9">
      <c r="A1176" s="116">
        <v>2458</v>
      </c>
      <c r="B1176" s="91">
        <v>0.38</v>
      </c>
      <c r="C1176" s="92">
        <v>1</v>
      </c>
      <c r="D1176" s="94">
        <v>421052631.57894737</v>
      </c>
      <c r="E1176" s="91">
        <f>VLOOKUP(2458,收盤價!A:C,3,0)</f>
        <v>37.700000000000003</v>
      </c>
      <c r="F1176" s="93">
        <v>15873684210.526318</v>
      </c>
      <c r="G1176" s="93">
        <v>6789672000</v>
      </c>
      <c r="H1176" s="117">
        <v>2.34</v>
      </c>
      <c r="I1176" s="117">
        <v>24.8</v>
      </c>
    </row>
    <row r="1177" spans="1:9">
      <c r="A1177" s="116">
        <v>6169</v>
      </c>
      <c r="B1177" s="91">
        <v>-1.48</v>
      </c>
      <c r="C1177" s="92">
        <v>0.89855072463768115</v>
      </c>
      <c r="D1177" s="94">
        <v>28378378.37837838</v>
      </c>
      <c r="E1177" s="91">
        <f>VLOOKUP(6169,收盤價!A:C,3,0)</f>
        <v>20.149999999999999</v>
      </c>
      <c r="F1177" s="93">
        <v>571824324.32432437</v>
      </c>
      <c r="G1177" s="93">
        <v>176615000</v>
      </c>
      <c r="H1177" s="117">
        <v>3.24</v>
      </c>
      <c r="I1177" s="117">
        <v>0</v>
      </c>
    </row>
    <row r="1178" spans="1:9">
      <c r="A1178" s="116">
        <v>6170</v>
      </c>
      <c r="B1178" s="91">
        <v>0.04</v>
      </c>
      <c r="C1178" s="92">
        <v>1</v>
      </c>
      <c r="D1178" s="94">
        <v>75000000</v>
      </c>
      <c r="E1178" s="91">
        <f>VLOOKUP(6170,收盤價!A:C,3,0)</f>
        <v>9.0500000000000007</v>
      </c>
      <c r="F1178" s="93">
        <v>678750000</v>
      </c>
      <c r="G1178" s="93">
        <v>3767322000</v>
      </c>
      <c r="H1178" s="117">
        <v>0.18</v>
      </c>
      <c r="I1178" s="117">
        <v>56.56</v>
      </c>
    </row>
    <row r="1179" spans="1:9">
      <c r="A1179" s="116">
        <v>6171</v>
      </c>
      <c r="B1179" s="91">
        <v>0.28000000000000003</v>
      </c>
      <c r="C1179" s="92">
        <v>1</v>
      </c>
      <c r="D1179" s="94">
        <v>64285714.285714276</v>
      </c>
      <c r="E1179" s="91">
        <f>VLOOKUP(6171,收盤價!A:C,3,0)</f>
        <v>14</v>
      </c>
      <c r="F1179" s="93">
        <v>899999999.99999988</v>
      </c>
      <c r="G1179" s="93">
        <v>80279000</v>
      </c>
      <c r="H1179" s="117">
        <v>11.21</v>
      </c>
      <c r="I1179" s="117">
        <v>12.5</v>
      </c>
    </row>
    <row r="1180" spans="1:9">
      <c r="A1180" s="116">
        <v>6172</v>
      </c>
      <c r="B1180" s="91">
        <v>-7.0000000000000007E-2</v>
      </c>
      <c r="C1180" s="92">
        <v>1</v>
      </c>
      <c r="D1180" s="94">
        <v>42857142.857142851</v>
      </c>
      <c r="E1180" s="91">
        <f>VLOOKUP(6172,收盤價!A:C,3,0)</f>
        <v>5.16</v>
      </c>
      <c r="F1180" s="93">
        <v>221142857.1428571</v>
      </c>
      <c r="G1180" s="93">
        <v>306909000</v>
      </c>
      <c r="H1180" s="117">
        <v>0.72</v>
      </c>
      <c r="I1180" s="117">
        <v>0</v>
      </c>
    </row>
    <row r="1181" spans="1:9">
      <c r="A1181" s="116">
        <v>6173</v>
      </c>
      <c r="B1181" s="91">
        <v>0.16</v>
      </c>
      <c r="C1181" s="92">
        <v>0.88888888888888884</v>
      </c>
      <c r="D1181" s="94">
        <v>187500000</v>
      </c>
      <c r="E1181" s="91">
        <f>VLOOKUP(6173,收盤價!A:C,3,0)</f>
        <v>10.6</v>
      </c>
      <c r="F1181" s="93">
        <v>1987500000</v>
      </c>
      <c r="G1181" s="93">
        <v>2444887000</v>
      </c>
      <c r="H1181" s="117">
        <v>0.81</v>
      </c>
      <c r="I1181" s="117">
        <v>18.63</v>
      </c>
    </row>
    <row r="1182" spans="1:9">
      <c r="A1182" s="116">
        <v>6174</v>
      </c>
      <c r="B1182" s="91">
        <v>0.35</v>
      </c>
      <c r="C1182" s="92">
        <v>1</v>
      </c>
      <c r="D1182" s="94">
        <v>48571428.571428575</v>
      </c>
      <c r="E1182" s="91">
        <f>VLOOKUP(6174,收盤價!A:C,3,0)</f>
        <v>14</v>
      </c>
      <c r="F1182" s="93">
        <v>680000000</v>
      </c>
      <c r="G1182" s="93">
        <v>547981000</v>
      </c>
      <c r="H1182" s="117">
        <v>1.24</v>
      </c>
      <c r="I1182" s="117">
        <v>10</v>
      </c>
    </row>
    <row r="1183" spans="1:9">
      <c r="A1183" s="116">
        <v>6175</v>
      </c>
      <c r="B1183" s="91">
        <v>0.13</v>
      </c>
      <c r="C1183" s="92">
        <v>1</v>
      </c>
      <c r="D1183" s="94">
        <v>115384615.38461538</v>
      </c>
      <c r="E1183" s="91">
        <f>VLOOKUP(6175,收盤價!A:C,3,0)</f>
        <v>12.9</v>
      </c>
      <c r="F1183" s="93">
        <v>1488461538.4615383</v>
      </c>
      <c r="G1183" s="93">
        <v>1950992000</v>
      </c>
      <c r="H1183" s="117">
        <v>0.76</v>
      </c>
      <c r="I1183" s="117">
        <v>24.81</v>
      </c>
    </row>
    <row r="1184" spans="1:9">
      <c r="A1184" s="116">
        <v>6289</v>
      </c>
      <c r="B1184" s="91">
        <v>-0.23</v>
      </c>
      <c r="C1184" s="92">
        <v>1</v>
      </c>
      <c r="D1184" s="94">
        <v>265217391.30434781</v>
      </c>
      <c r="E1184" s="91">
        <f>VLOOKUP(6289,收盤價!A:C,3,0)</f>
        <v>1.29</v>
      </c>
      <c r="F1184" s="93">
        <v>342130434.78260869</v>
      </c>
      <c r="G1184" s="93">
        <v>121601000</v>
      </c>
      <c r="H1184" s="117">
        <v>2.81</v>
      </c>
      <c r="I1184" s="117">
        <v>0</v>
      </c>
    </row>
    <row r="1185" spans="1:9">
      <c r="A1185" s="116">
        <v>6177</v>
      </c>
      <c r="B1185" s="91">
        <v>0.24</v>
      </c>
      <c r="C1185" s="92">
        <v>1</v>
      </c>
      <c r="D1185" s="94">
        <v>170833333.33333334</v>
      </c>
      <c r="E1185" s="91">
        <f>VLOOKUP(6177,收盤價!A:C,3,0)</f>
        <v>21.6</v>
      </c>
      <c r="F1185" s="93">
        <v>3690000000.0000005</v>
      </c>
      <c r="G1185" s="93">
        <v>3011366000</v>
      </c>
      <c r="H1185" s="117">
        <v>1.23</v>
      </c>
      <c r="I1185" s="117">
        <v>22.5</v>
      </c>
    </row>
    <row r="1186" spans="1:9">
      <c r="A1186" s="116">
        <v>6179</v>
      </c>
      <c r="B1186" s="91">
        <v>0.91</v>
      </c>
      <c r="C1186" s="92">
        <v>0.98245614035087714</v>
      </c>
      <c r="D1186" s="94">
        <v>50549450.549450547</v>
      </c>
      <c r="E1186" s="91">
        <f>VLOOKUP(6179,收盤價!A:C,3,0)</f>
        <v>38.549999999999997</v>
      </c>
      <c r="F1186" s="93">
        <v>1948681318.6813185</v>
      </c>
      <c r="G1186" s="93">
        <v>1362531000</v>
      </c>
      <c r="H1186" s="117">
        <v>1.43</v>
      </c>
      <c r="I1186" s="117">
        <v>10.78</v>
      </c>
    </row>
    <row r="1187" spans="1:9">
      <c r="A1187" s="116">
        <v>6180</v>
      </c>
      <c r="B1187" s="91">
        <v>0.22</v>
      </c>
      <c r="C1187" s="92">
        <v>7.5418994413407825E-2</v>
      </c>
      <c r="D1187" s="94">
        <v>159090909.09090909</v>
      </c>
      <c r="E1187" s="91">
        <f>VLOOKUP(6180,收盤價!A:C,3,0)</f>
        <v>43.2</v>
      </c>
      <c r="F1187" s="93">
        <v>6872727272.727273</v>
      </c>
      <c r="G1187" s="93">
        <v>9267425000</v>
      </c>
      <c r="H1187" s="117">
        <v>0.74</v>
      </c>
      <c r="I1187" s="117">
        <v>650.91</v>
      </c>
    </row>
    <row r="1188" spans="1:9">
      <c r="A1188" s="116">
        <v>1227</v>
      </c>
      <c r="B1188" s="91">
        <v>0.52</v>
      </c>
      <c r="C1188" s="92">
        <v>0.96037296037296038</v>
      </c>
      <c r="D1188" s="94">
        <v>721153846.15384614</v>
      </c>
      <c r="E1188" s="91">
        <f>VLOOKUP(1227,收盤價!A:C,3,0)</f>
        <v>77.599999999999994</v>
      </c>
      <c r="F1188" s="93">
        <v>55961538461.53846</v>
      </c>
      <c r="G1188" s="93">
        <v>24433177000</v>
      </c>
      <c r="H1188" s="117">
        <v>2.29</v>
      </c>
      <c r="I1188" s="117">
        <v>38.85</v>
      </c>
    </row>
    <row r="1189" spans="1:9">
      <c r="A1189" s="116">
        <v>6183</v>
      </c>
      <c r="B1189" s="91">
        <v>0.45</v>
      </c>
      <c r="C1189" s="92">
        <v>0.967741935483871</v>
      </c>
      <c r="D1189" s="94">
        <v>151111111.1111111</v>
      </c>
      <c r="E1189" s="91">
        <f>VLOOKUP(6183,收盤價!A:C,3,0)</f>
        <v>25.2</v>
      </c>
      <c r="F1189" s="93">
        <v>3807999999.9999995</v>
      </c>
      <c r="G1189" s="93">
        <v>1352173000</v>
      </c>
      <c r="H1189" s="117">
        <v>2.82</v>
      </c>
      <c r="I1189" s="117">
        <v>14.47</v>
      </c>
    </row>
    <row r="1190" spans="1:9">
      <c r="A1190" s="116">
        <v>6184</v>
      </c>
      <c r="B1190" s="91">
        <v>1.22</v>
      </c>
      <c r="C1190" s="92">
        <v>0.83587786259541985</v>
      </c>
      <c r="D1190" s="94">
        <v>131147540.98360656</v>
      </c>
      <c r="E1190" s="91">
        <f>VLOOKUP(6184,收盤價!A:C,3,0)</f>
        <v>52.8</v>
      </c>
      <c r="F1190" s="93">
        <v>6924590163.9344263</v>
      </c>
      <c r="G1190" s="93">
        <v>1453367000</v>
      </c>
      <c r="H1190" s="117">
        <v>4.76</v>
      </c>
      <c r="I1190" s="117">
        <v>12.94</v>
      </c>
    </row>
    <row r="1191" spans="1:9">
      <c r="A1191" s="116">
        <v>6185</v>
      </c>
      <c r="B1191" s="91">
        <v>0.53</v>
      </c>
      <c r="C1191" s="92">
        <v>0.88721804511278191</v>
      </c>
      <c r="D1191" s="94">
        <v>115094339.6226415</v>
      </c>
      <c r="E1191" s="91">
        <f>VLOOKUP(6185,收盤價!A:C,3,0)</f>
        <v>23.45</v>
      </c>
      <c r="F1191" s="93">
        <v>2698962264.1509433</v>
      </c>
      <c r="G1191" s="93">
        <v>1491588000</v>
      </c>
      <c r="H1191" s="117">
        <v>1.81</v>
      </c>
      <c r="I1191" s="117">
        <v>12.47</v>
      </c>
    </row>
    <row r="1192" spans="1:9">
      <c r="A1192" s="116">
        <v>6186</v>
      </c>
      <c r="B1192" s="91">
        <v>0.25</v>
      </c>
      <c r="C1192" s="92">
        <v>0.96039603960396036</v>
      </c>
      <c r="D1192" s="94">
        <v>64000000</v>
      </c>
      <c r="E1192" s="91">
        <f>VLOOKUP(6186,收盤價!A:C,3,0)</f>
        <v>23.25</v>
      </c>
      <c r="F1192" s="93">
        <v>1488000000</v>
      </c>
      <c r="G1192" s="93">
        <v>1097521000</v>
      </c>
      <c r="H1192" s="117">
        <v>1.36</v>
      </c>
      <c r="I1192" s="117">
        <v>24.21</v>
      </c>
    </row>
    <row r="1193" spans="1:9">
      <c r="A1193" s="116">
        <v>6187</v>
      </c>
      <c r="B1193" s="91">
        <v>1.43</v>
      </c>
      <c r="C1193" s="92">
        <v>0.96932515337423308</v>
      </c>
      <c r="D1193" s="94">
        <v>80419580.41958043</v>
      </c>
      <c r="E1193" s="91">
        <f>VLOOKUP(6187,收盤價!A:C,3,0)</f>
        <v>37.799999999999997</v>
      </c>
      <c r="F1193" s="93">
        <v>3039860139.8601398</v>
      </c>
      <c r="G1193" s="93">
        <v>1695747000</v>
      </c>
      <c r="H1193" s="117">
        <v>1.79</v>
      </c>
      <c r="I1193" s="117">
        <v>6.82</v>
      </c>
    </row>
    <row r="1194" spans="1:9">
      <c r="A1194" s="116">
        <v>1416</v>
      </c>
      <c r="B1194" s="91">
        <v>-0.19</v>
      </c>
      <c r="C1194" s="92">
        <v>0.48</v>
      </c>
      <c r="D1194" s="94">
        <v>294736842.10526317</v>
      </c>
      <c r="E1194" s="91">
        <f>VLOOKUP(1416,收盤價!A:C,3,0)</f>
        <v>17.649999999999999</v>
      </c>
      <c r="F1194" s="93">
        <v>5202105263.1578941</v>
      </c>
      <c r="G1194" s="93">
        <v>2151809000</v>
      </c>
      <c r="H1194" s="117">
        <v>2.42</v>
      </c>
      <c r="I1194" s="117">
        <v>0</v>
      </c>
    </row>
    <row r="1195" spans="1:9">
      <c r="A1195" s="116">
        <v>6189</v>
      </c>
      <c r="B1195" s="91">
        <v>0.54</v>
      </c>
      <c r="C1195" s="92">
        <v>1</v>
      </c>
      <c r="D1195" s="94">
        <v>181481481.48148146</v>
      </c>
      <c r="E1195" s="91">
        <f>VLOOKUP(6189,收盤價!A:C,3,0)</f>
        <v>28.3</v>
      </c>
      <c r="F1195" s="93">
        <v>5135925925.9259253</v>
      </c>
      <c r="G1195" s="93">
        <v>18573909000</v>
      </c>
      <c r="H1195" s="117">
        <v>0.28000000000000003</v>
      </c>
      <c r="I1195" s="117">
        <v>13.1</v>
      </c>
    </row>
    <row r="1196" spans="1:9">
      <c r="A1196" s="116">
        <v>6190</v>
      </c>
      <c r="B1196" s="91">
        <v>-0.01</v>
      </c>
      <c r="C1196" s="92">
        <v>1</v>
      </c>
      <c r="D1196" s="94">
        <v>100000000</v>
      </c>
      <c r="E1196" s="91">
        <f>VLOOKUP(6190,收盤價!A:C,3,0)</f>
        <v>6.65</v>
      </c>
      <c r="F1196" s="93">
        <v>665000000</v>
      </c>
      <c r="G1196" s="93">
        <v>4105068000</v>
      </c>
      <c r="H1196" s="117">
        <v>0.16</v>
      </c>
      <c r="I1196" s="117">
        <v>0</v>
      </c>
    </row>
    <row r="1197" spans="1:9">
      <c r="A1197" s="116">
        <v>2495</v>
      </c>
      <c r="B1197" s="91">
        <v>0.1</v>
      </c>
      <c r="C1197" s="92">
        <v>0.78873239436619713</v>
      </c>
      <c r="D1197" s="94">
        <v>280000000</v>
      </c>
      <c r="E1197" s="91">
        <f>VLOOKUP(2495,收盤價!A:C,3,0)</f>
        <v>14.4</v>
      </c>
      <c r="F1197" s="93">
        <v>4032000000</v>
      </c>
      <c r="G1197" s="93">
        <v>1788746000</v>
      </c>
      <c r="H1197" s="117">
        <v>2.25</v>
      </c>
      <c r="I1197" s="117">
        <v>45.64</v>
      </c>
    </row>
    <row r="1198" spans="1:9">
      <c r="A1198" s="116">
        <v>6192</v>
      </c>
      <c r="B1198" s="91">
        <v>0.98</v>
      </c>
      <c r="C1198" s="92">
        <v>0.97607655502392343</v>
      </c>
      <c r="D1198" s="94">
        <v>119387755.10204081</v>
      </c>
      <c r="E1198" s="91">
        <f>VLOOKUP(6192,收盤價!A:C,3,0)</f>
        <v>46</v>
      </c>
      <c r="F1198" s="93">
        <v>5491836734.6938772</v>
      </c>
      <c r="G1198" s="93">
        <v>5403573000</v>
      </c>
      <c r="H1198" s="117">
        <v>1.02</v>
      </c>
      <c r="I1198" s="117">
        <v>12.02</v>
      </c>
    </row>
    <row r="1199" spans="1:9">
      <c r="A1199" s="116">
        <v>6194</v>
      </c>
      <c r="B1199" s="91">
        <v>-0.16</v>
      </c>
      <c r="C1199" s="92">
        <v>1</v>
      </c>
      <c r="D1199" s="94">
        <v>100000000</v>
      </c>
      <c r="E1199" s="91">
        <f>VLOOKUP(6194,收盤價!A:C,3,0)</f>
        <v>18.3</v>
      </c>
      <c r="F1199" s="93">
        <v>1830000000</v>
      </c>
      <c r="G1199" s="93">
        <v>258242000</v>
      </c>
      <c r="H1199" s="117">
        <v>7.09</v>
      </c>
      <c r="I1199" s="117">
        <v>0</v>
      </c>
    </row>
    <row r="1200" spans="1:9">
      <c r="A1200" s="116">
        <v>6195</v>
      </c>
      <c r="B1200" s="91">
        <v>1.0900000000000001</v>
      </c>
      <c r="C1200" s="92">
        <v>0.96116504854368934</v>
      </c>
      <c r="D1200" s="94">
        <v>43119266.055045865</v>
      </c>
      <c r="E1200" s="91">
        <f>VLOOKUP(6195,收盤價!A:C,3,0)</f>
        <v>56.4</v>
      </c>
      <c r="F1200" s="93">
        <v>2431926605.5045867</v>
      </c>
      <c r="G1200" s="93">
        <v>1628422000</v>
      </c>
      <c r="H1200" s="117">
        <v>1.49</v>
      </c>
      <c r="I1200" s="117">
        <v>13.46</v>
      </c>
    </row>
    <row r="1201" spans="1:9">
      <c r="A1201" s="116">
        <v>6196</v>
      </c>
      <c r="B1201" s="91">
        <v>0.48</v>
      </c>
      <c r="C1201" s="92">
        <v>1</v>
      </c>
      <c r="D1201" s="94">
        <v>164583333.33333334</v>
      </c>
      <c r="E1201" s="91">
        <f>VLOOKUP(6196,收盤價!A:C,3,0)</f>
        <v>22.55</v>
      </c>
      <c r="F1201" s="93">
        <v>3711354166.666667</v>
      </c>
      <c r="G1201" s="93">
        <v>17616720000</v>
      </c>
      <c r="H1201" s="117">
        <v>0.21</v>
      </c>
      <c r="I1201" s="117">
        <v>11.74</v>
      </c>
    </row>
    <row r="1202" spans="1:9">
      <c r="A1202" s="116">
        <v>6197</v>
      </c>
      <c r="B1202" s="91">
        <v>0.19</v>
      </c>
      <c r="C1202" s="92">
        <v>1</v>
      </c>
      <c r="D1202" s="94">
        <v>173684210.52631578</v>
      </c>
      <c r="E1202" s="91">
        <f>VLOOKUP(6197,收盤價!A:C,3,0)</f>
        <v>35.65</v>
      </c>
      <c r="F1202" s="93">
        <v>6191842105.2631569</v>
      </c>
      <c r="G1202" s="93">
        <v>5227439000</v>
      </c>
      <c r="H1202" s="117">
        <v>1.18</v>
      </c>
      <c r="I1202" s="117">
        <v>46.91</v>
      </c>
    </row>
    <row r="1203" spans="1:9">
      <c r="A1203" s="116">
        <v>6198</v>
      </c>
      <c r="B1203" s="91">
        <v>-0.32</v>
      </c>
      <c r="C1203" s="92">
        <v>1</v>
      </c>
      <c r="D1203" s="94">
        <v>18750000</v>
      </c>
      <c r="E1203" s="91">
        <f>VLOOKUP(6198,收盤價!A:C,3,0)</f>
        <v>14.75</v>
      </c>
      <c r="F1203" s="93">
        <v>276562500</v>
      </c>
      <c r="G1203" s="93">
        <v>80943000</v>
      </c>
      <c r="H1203" s="117">
        <v>3.42</v>
      </c>
      <c r="I1203" s="117">
        <v>0</v>
      </c>
    </row>
    <row r="1204" spans="1:9">
      <c r="A1204" s="116">
        <v>6199</v>
      </c>
      <c r="B1204" s="91">
        <v>0.04</v>
      </c>
      <c r="C1204" s="92">
        <v>0.7142857142857143</v>
      </c>
      <c r="D1204" s="94">
        <v>50000000</v>
      </c>
      <c r="E1204" s="91">
        <f>VLOOKUP(6199,收盤價!A:C,3,0)</f>
        <v>0</v>
      </c>
      <c r="F1204" s="93">
        <v>0</v>
      </c>
      <c r="G1204" s="93">
        <v>90724000</v>
      </c>
      <c r="H1204" s="117">
        <v>0</v>
      </c>
      <c r="I1204" s="117">
        <v>0</v>
      </c>
    </row>
    <row r="1205" spans="1:9">
      <c r="A1205" s="116">
        <v>6201</v>
      </c>
      <c r="B1205" s="91">
        <v>0.56000000000000005</v>
      </c>
      <c r="C1205" s="92">
        <v>0.87368421052631584</v>
      </c>
      <c r="D1205" s="94">
        <v>89285714.285714284</v>
      </c>
      <c r="E1205" s="91">
        <f>VLOOKUP(6201,收盤價!A:C,3,0)</f>
        <v>24.65</v>
      </c>
      <c r="F1205" s="93">
        <v>2200892857.1428571</v>
      </c>
      <c r="G1205" s="93">
        <v>3325126000</v>
      </c>
      <c r="H1205" s="117">
        <v>0.66</v>
      </c>
      <c r="I1205" s="117">
        <v>12.6</v>
      </c>
    </row>
    <row r="1206" spans="1:9">
      <c r="A1206" s="116">
        <v>2360</v>
      </c>
      <c r="B1206" s="91">
        <v>1.01</v>
      </c>
      <c r="C1206" s="92">
        <v>0.91865079365079361</v>
      </c>
      <c r="D1206" s="94">
        <v>377227722.77227724</v>
      </c>
      <c r="E1206" s="91">
        <f>VLOOKUP(2360,收盤價!A:C,3,0)</f>
        <v>60.5</v>
      </c>
      <c r="F1206" s="93">
        <v>22822277227.722775</v>
      </c>
      <c r="G1206" s="93">
        <v>9821781000</v>
      </c>
      <c r="H1206" s="117">
        <v>2.3199999999999998</v>
      </c>
      <c r="I1206" s="117">
        <v>16.3</v>
      </c>
    </row>
    <row r="1207" spans="1:9">
      <c r="A1207" s="116">
        <v>6203</v>
      </c>
      <c r="B1207" s="91">
        <v>0.23</v>
      </c>
      <c r="C1207" s="92">
        <v>1</v>
      </c>
      <c r="D1207" s="94">
        <v>78260869.565217391</v>
      </c>
      <c r="E1207" s="91">
        <f>VLOOKUP(6203,收盤價!A:C,3,0)</f>
        <v>31.3</v>
      </c>
      <c r="F1207" s="93">
        <v>2449565217.3913045</v>
      </c>
      <c r="G1207" s="93">
        <v>1805018000</v>
      </c>
      <c r="H1207" s="117">
        <v>1.36</v>
      </c>
      <c r="I1207" s="117">
        <v>34.020000000000003</v>
      </c>
    </row>
    <row r="1208" spans="1:9">
      <c r="A1208" s="116">
        <v>6204</v>
      </c>
      <c r="B1208" s="91">
        <v>0.43</v>
      </c>
      <c r="C1208" s="92">
        <v>0.68421052631578949</v>
      </c>
      <c r="D1208" s="94">
        <v>37209302.325581394</v>
      </c>
      <c r="E1208" s="91">
        <f>VLOOKUP(6204,收盤價!A:C,3,0)</f>
        <v>23.4</v>
      </c>
      <c r="F1208" s="93">
        <v>870697674.41860461</v>
      </c>
      <c r="G1208" s="93">
        <v>621913000</v>
      </c>
      <c r="H1208" s="117">
        <v>1.4</v>
      </c>
      <c r="I1208" s="117">
        <v>19.88</v>
      </c>
    </row>
    <row r="1209" spans="1:9">
      <c r="A1209" s="116">
        <v>6205</v>
      </c>
      <c r="B1209" s="91">
        <v>0.69</v>
      </c>
      <c r="C1209" s="92">
        <v>0.80208333333333337</v>
      </c>
      <c r="D1209" s="94">
        <v>72463768.115942031</v>
      </c>
      <c r="E1209" s="91">
        <f>VLOOKUP(6205,收盤價!A:C,3,0)</f>
        <v>30</v>
      </c>
      <c r="F1209" s="93">
        <v>2173913043.478261</v>
      </c>
      <c r="G1209" s="93">
        <v>2356921000</v>
      </c>
      <c r="H1209" s="117">
        <v>0.92</v>
      </c>
      <c r="I1209" s="117">
        <v>13.55</v>
      </c>
    </row>
    <row r="1210" spans="1:9">
      <c r="A1210" s="116">
        <v>6206</v>
      </c>
      <c r="B1210" s="91">
        <v>1.77</v>
      </c>
      <c r="C1210" s="92">
        <v>1</v>
      </c>
      <c r="D1210" s="94">
        <v>138983050.84745762</v>
      </c>
      <c r="E1210" s="91">
        <f>VLOOKUP(6206,收盤價!A:C,3,0)</f>
        <v>103</v>
      </c>
      <c r="F1210" s="93">
        <v>14315254237.288136</v>
      </c>
      <c r="G1210" s="93">
        <v>5137469000</v>
      </c>
      <c r="H1210" s="117">
        <v>2.79</v>
      </c>
      <c r="I1210" s="117">
        <v>14.55</v>
      </c>
    </row>
    <row r="1211" spans="1:9">
      <c r="A1211" s="116">
        <v>6207</v>
      </c>
      <c r="B1211" s="91">
        <v>0.65</v>
      </c>
      <c r="C1211" s="92">
        <v>1</v>
      </c>
      <c r="D1211" s="94">
        <v>84615384.615384609</v>
      </c>
      <c r="E1211" s="91">
        <f>VLOOKUP(6207,收盤價!A:C,3,0)</f>
        <v>28.15</v>
      </c>
      <c r="F1211" s="93">
        <v>2381923076.9230766</v>
      </c>
      <c r="G1211" s="93">
        <v>2228255000</v>
      </c>
      <c r="H1211" s="117">
        <v>1.07</v>
      </c>
      <c r="I1211" s="117">
        <v>10.83</v>
      </c>
    </row>
    <row r="1212" spans="1:9">
      <c r="A1212" s="116">
        <v>6208</v>
      </c>
      <c r="B1212" s="91">
        <v>0.12</v>
      </c>
      <c r="C1212" s="92">
        <v>0.80769230769230771</v>
      </c>
      <c r="D1212" s="94">
        <v>116666666.66666667</v>
      </c>
      <c r="E1212" s="91">
        <f>VLOOKUP(6208,收盤價!A:C,3,0)</f>
        <v>11.6</v>
      </c>
      <c r="F1212" s="93">
        <v>1353333333.3333333</v>
      </c>
      <c r="G1212" s="93">
        <v>1330041000</v>
      </c>
      <c r="H1212" s="117">
        <v>1.02</v>
      </c>
      <c r="I1212" s="117">
        <v>29.92</v>
      </c>
    </row>
    <row r="1213" spans="1:9">
      <c r="A1213" s="116">
        <v>6209</v>
      </c>
      <c r="B1213" s="91">
        <v>0.03</v>
      </c>
      <c r="C1213" s="92">
        <v>1</v>
      </c>
      <c r="D1213" s="94">
        <v>133333333.33333334</v>
      </c>
      <c r="E1213" s="91">
        <f>VLOOKUP(6209,收盤價!A:C,3,0)</f>
        <v>17.399999999999999</v>
      </c>
      <c r="F1213" s="93">
        <v>2320000000</v>
      </c>
      <c r="G1213" s="93">
        <v>4104943000</v>
      </c>
      <c r="H1213" s="117">
        <v>0.56999999999999995</v>
      </c>
      <c r="I1213" s="117">
        <v>145</v>
      </c>
    </row>
    <row r="1214" spans="1:9">
      <c r="A1214" s="116">
        <v>6210</v>
      </c>
      <c r="B1214" s="91">
        <v>0.9</v>
      </c>
      <c r="C1214" s="92">
        <v>1</v>
      </c>
      <c r="D1214" s="94">
        <v>34444444.44444444</v>
      </c>
      <c r="E1214" s="91">
        <f>VLOOKUP(6210,收盤價!A:C,3,0)</f>
        <v>41.45</v>
      </c>
      <c r="F1214" s="93">
        <v>1427722222.2222221</v>
      </c>
      <c r="G1214" s="93">
        <v>1088122000</v>
      </c>
      <c r="H1214" s="117">
        <v>1.31</v>
      </c>
      <c r="I1214" s="117">
        <v>11.51</v>
      </c>
    </row>
    <row r="1215" spans="1:9">
      <c r="A1215" s="116">
        <v>6211</v>
      </c>
      <c r="B1215" s="91">
        <v>0</v>
      </c>
      <c r="C1215" s="92">
        <v>0</v>
      </c>
      <c r="D1215" s="94">
        <v>0</v>
      </c>
      <c r="E1215" s="91">
        <f>VLOOKUP(6211,收盤價!A:C,3,0)</f>
        <v>20</v>
      </c>
      <c r="F1215" s="93">
        <v>0</v>
      </c>
      <c r="G1215" s="93">
        <v>313260000</v>
      </c>
      <c r="H1215" s="117">
        <v>0</v>
      </c>
      <c r="I1215" s="117">
        <v>0</v>
      </c>
    </row>
    <row r="1216" spans="1:9">
      <c r="A1216" s="116">
        <v>6212</v>
      </c>
      <c r="B1216" s="91">
        <v>1.35</v>
      </c>
      <c r="C1216" s="92">
        <v>1</v>
      </c>
      <c r="D1216" s="94">
        <v>102222222.22222221</v>
      </c>
      <c r="E1216" s="91">
        <f>VLOOKUP(6212,收盤價!A:C,3,0)</f>
        <v>25.2</v>
      </c>
      <c r="F1216" s="93">
        <v>2575999999.9999995</v>
      </c>
      <c r="G1216" s="93">
        <v>1298930000</v>
      </c>
      <c r="H1216" s="117">
        <v>1.98</v>
      </c>
      <c r="I1216" s="117">
        <v>4.67</v>
      </c>
    </row>
    <row r="1217" spans="1:9">
      <c r="A1217" s="116">
        <v>9940</v>
      </c>
      <c r="B1217" s="91">
        <v>0.38</v>
      </c>
      <c r="C1217" s="92">
        <v>0.69969040247678016</v>
      </c>
      <c r="D1217" s="94">
        <v>636842105.26315784</v>
      </c>
      <c r="E1217" s="91">
        <f>VLOOKUP(9940,收盤價!A:C,3,0)</f>
        <v>28.75</v>
      </c>
      <c r="F1217" s="93">
        <v>18309210526.315788</v>
      </c>
      <c r="G1217" s="93">
        <v>8024134000</v>
      </c>
      <c r="H1217" s="117">
        <v>2.2799999999999998</v>
      </c>
      <c r="I1217" s="117">
        <v>27.03</v>
      </c>
    </row>
    <row r="1218" spans="1:9">
      <c r="A1218" s="116">
        <v>2227</v>
      </c>
      <c r="B1218" s="91">
        <v>4.62</v>
      </c>
      <c r="C1218" s="92">
        <v>0.11571961841559519</v>
      </c>
      <c r="D1218" s="94">
        <v>300000000</v>
      </c>
      <c r="E1218" s="91">
        <f>VLOOKUP(2227,收盤價!A:C,3,0)</f>
        <v>297</v>
      </c>
      <c r="F1218" s="93">
        <v>89100000000</v>
      </c>
      <c r="G1218" s="93">
        <v>33760275000</v>
      </c>
      <c r="H1218" s="117">
        <v>2.64</v>
      </c>
      <c r="I1218" s="117">
        <v>138.88</v>
      </c>
    </row>
    <row r="1219" spans="1:9">
      <c r="A1219" s="116">
        <v>6215</v>
      </c>
      <c r="B1219" s="91">
        <v>-0.09</v>
      </c>
      <c r="C1219" s="92">
        <v>1</v>
      </c>
      <c r="D1219" s="94">
        <v>77777777.777777776</v>
      </c>
      <c r="E1219" s="91">
        <f>VLOOKUP(6215,收盤價!A:C,3,0)</f>
        <v>14.45</v>
      </c>
      <c r="F1219" s="93">
        <v>1123888888.8888888</v>
      </c>
      <c r="G1219" s="93">
        <v>1821255000</v>
      </c>
      <c r="H1219" s="117">
        <v>0.62</v>
      </c>
      <c r="I1219" s="117">
        <v>0</v>
      </c>
    </row>
    <row r="1220" spans="1:9">
      <c r="A1220" s="116">
        <v>6216</v>
      </c>
      <c r="B1220" s="91">
        <v>1.05</v>
      </c>
      <c r="C1220" s="92">
        <v>1</v>
      </c>
      <c r="D1220" s="94">
        <v>77142857.142857134</v>
      </c>
      <c r="E1220" s="91">
        <f>VLOOKUP(6216,收盤價!A:C,3,0)</f>
        <v>27.75</v>
      </c>
      <c r="F1220" s="93">
        <v>2140714285.7142854</v>
      </c>
      <c r="G1220" s="93">
        <v>1146074000</v>
      </c>
      <c r="H1220" s="117">
        <v>1.87</v>
      </c>
      <c r="I1220" s="117">
        <v>6.61</v>
      </c>
    </row>
    <row r="1221" spans="1:9">
      <c r="A1221" s="116">
        <v>6217</v>
      </c>
      <c r="B1221" s="91">
        <v>0.6</v>
      </c>
      <c r="C1221" s="92">
        <v>1</v>
      </c>
      <c r="D1221" s="94">
        <v>55000000</v>
      </c>
      <c r="E1221" s="91">
        <f>VLOOKUP(6217,收盤價!A:C,3,0)</f>
        <v>47.05</v>
      </c>
      <c r="F1221" s="93">
        <v>2587750000</v>
      </c>
      <c r="G1221" s="93">
        <v>1641175000</v>
      </c>
      <c r="H1221" s="117">
        <v>1.58</v>
      </c>
      <c r="I1221" s="117">
        <v>19.600000000000001</v>
      </c>
    </row>
    <row r="1222" spans="1:9">
      <c r="A1222" s="116">
        <v>6218</v>
      </c>
      <c r="B1222" s="91">
        <v>0</v>
      </c>
      <c r="C1222" s="92">
        <v>0</v>
      </c>
      <c r="D1222" s="94">
        <v>0</v>
      </c>
      <c r="E1222" s="91">
        <f>VLOOKUP(6218,收盤價!A:C,3,0)</f>
        <v>17.25</v>
      </c>
      <c r="F1222" s="93">
        <v>0</v>
      </c>
      <c r="G1222" s="93">
        <v>1019157000</v>
      </c>
      <c r="H1222" s="117">
        <v>0</v>
      </c>
      <c r="I1222" s="117">
        <v>0</v>
      </c>
    </row>
    <row r="1223" spans="1:9">
      <c r="A1223" s="116">
        <v>6219</v>
      </c>
      <c r="B1223" s="91">
        <v>-0.54</v>
      </c>
      <c r="C1223" s="92">
        <v>0.64516129032258063</v>
      </c>
      <c r="D1223" s="94">
        <v>175925925.92592591</v>
      </c>
      <c r="E1223" s="91">
        <f>VLOOKUP(6219,收盤價!A:C,3,0)</f>
        <v>12.1</v>
      </c>
      <c r="F1223" s="93">
        <v>2128703703.7037034</v>
      </c>
      <c r="G1223" s="93">
        <v>1814642000</v>
      </c>
      <c r="H1223" s="117">
        <v>1.17</v>
      </c>
      <c r="I1223" s="117">
        <v>0</v>
      </c>
    </row>
    <row r="1224" spans="1:9">
      <c r="A1224" s="116">
        <v>6220</v>
      </c>
      <c r="B1224" s="91">
        <v>0.33</v>
      </c>
      <c r="C1224" s="92">
        <v>1</v>
      </c>
      <c r="D1224" s="94">
        <v>130303030.3030303</v>
      </c>
      <c r="E1224" s="91">
        <f>VLOOKUP(6220,收盤價!A:C,3,0)</f>
        <v>17.100000000000001</v>
      </c>
      <c r="F1224" s="93">
        <v>2228181818.1818185</v>
      </c>
      <c r="G1224" s="93">
        <v>6874434000</v>
      </c>
      <c r="H1224" s="117">
        <v>0.32</v>
      </c>
      <c r="I1224" s="117">
        <v>12.95</v>
      </c>
    </row>
    <row r="1225" spans="1:9">
      <c r="A1225" s="116">
        <v>6221</v>
      </c>
      <c r="B1225" s="91">
        <v>0.61</v>
      </c>
      <c r="C1225" s="92">
        <v>1</v>
      </c>
      <c r="D1225" s="94">
        <v>37704918.032786883</v>
      </c>
      <c r="E1225" s="91">
        <f>VLOOKUP(6221,收盤價!A:C,3,0)</f>
        <v>23.55</v>
      </c>
      <c r="F1225" s="93">
        <v>887950819.67213118</v>
      </c>
      <c r="G1225" s="93">
        <v>2318803000</v>
      </c>
      <c r="H1225" s="117">
        <v>0.38</v>
      </c>
      <c r="I1225" s="117">
        <v>9.65</v>
      </c>
    </row>
    <row r="1226" spans="1:9">
      <c r="A1226" s="116">
        <v>6222</v>
      </c>
      <c r="B1226" s="91">
        <v>-0.23</v>
      </c>
      <c r="C1226" s="92">
        <v>1</v>
      </c>
      <c r="D1226" s="94">
        <v>56521739.130434781</v>
      </c>
      <c r="E1226" s="91">
        <f>VLOOKUP(6222,收盤價!A:C,3,0)</f>
        <v>9.1</v>
      </c>
      <c r="F1226" s="93">
        <v>514347826.0869565</v>
      </c>
      <c r="G1226" s="93">
        <v>105710000</v>
      </c>
      <c r="H1226" s="117">
        <v>4.87</v>
      </c>
      <c r="I1226" s="117">
        <v>0</v>
      </c>
    </row>
    <row r="1227" spans="1:9">
      <c r="A1227" s="116">
        <v>6223</v>
      </c>
      <c r="B1227" s="91">
        <v>1.02</v>
      </c>
      <c r="C1227" s="92">
        <v>0.9152542372881356</v>
      </c>
      <c r="D1227" s="94">
        <v>79411764.705882356</v>
      </c>
      <c r="E1227" s="91">
        <f>VLOOKUP(6223,收盤價!A:C,3,0)</f>
        <v>62.1</v>
      </c>
      <c r="F1227" s="93">
        <v>4931470588.2352943</v>
      </c>
      <c r="G1227" s="93">
        <v>4293615000</v>
      </c>
      <c r="H1227" s="117">
        <v>1.1499999999999999</v>
      </c>
      <c r="I1227" s="117">
        <v>16.63</v>
      </c>
    </row>
    <row r="1228" spans="1:9">
      <c r="A1228" s="116">
        <v>6224</v>
      </c>
      <c r="B1228" s="91">
        <v>1.67</v>
      </c>
      <c r="C1228" s="92">
        <v>0.96120689655172409</v>
      </c>
      <c r="D1228" s="94">
        <v>79640718.562874258</v>
      </c>
      <c r="E1228" s="91">
        <f>VLOOKUP(6224,收盤價!A:C,3,0)</f>
        <v>64.7</v>
      </c>
      <c r="F1228" s="93">
        <v>5152754491.0179644</v>
      </c>
      <c r="G1228" s="93">
        <v>1619656000</v>
      </c>
      <c r="H1228" s="117">
        <v>3.18</v>
      </c>
      <c r="I1228" s="117">
        <v>10.08</v>
      </c>
    </row>
    <row r="1229" spans="1:9">
      <c r="A1229" s="116">
        <v>6225</v>
      </c>
      <c r="B1229" s="91">
        <v>-0.35</v>
      </c>
      <c r="C1229" s="92">
        <v>0.94871794871794868</v>
      </c>
      <c r="D1229" s="94">
        <v>85714285.714285716</v>
      </c>
      <c r="E1229" s="91">
        <f>VLOOKUP(6225,收盤價!A:C,3,0)</f>
        <v>3.94</v>
      </c>
      <c r="F1229" s="93">
        <v>337714285.71428573</v>
      </c>
      <c r="G1229" s="93">
        <v>120997000</v>
      </c>
      <c r="H1229" s="117">
        <v>2.79</v>
      </c>
      <c r="I1229" s="117">
        <v>0</v>
      </c>
    </row>
    <row r="1230" spans="1:9">
      <c r="A1230" s="116">
        <v>6226</v>
      </c>
      <c r="B1230" s="91">
        <v>-0.34</v>
      </c>
      <c r="C1230" s="92">
        <v>0.58823529411764708</v>
      </c>
      <c r="D1230" s="94">
        <v>91176470.588235289</v>
      </c>
      <c r="E1230" s="91">
        <f>VLOOKUP(6226,收盤價!A:C,3,0)</f>
        <v>6.59</v>
      </c>
      <c r="F1230" s="93">
        <v>600852941.17647052</v>
      </c>
      <c r="G1230" s="93">
        <v>1109994000</v>
      </c>
      <c r="H1230" s="117">
        <v>0.54</v>
      </c>
      <c r="I1230" s="117">
        <v>0</v>
      </c>
    </row>
    <row r="1231" spans="1:9">
      <c r="A1231" s="116">
        <v>6227</v>
      </c>
      <c r="B1231" s="91">
        <v>0.38</v>
      </c>
      <c r="C1231" s="92">
        <v>0.87037037037037035</v>
      </c>
      <c r="D1231" s="94">
        <v>76315789.473684207</v>
      </c>
      <c r="E1231" s="91">
        <f>VLOOKUP(6227,收盤價!A:C,3,0)</f>
        <v>19.25</v>
      </c>
      <c r="F1231" s="93">
        <v>1469078947.3684211</v>
      </c>
      <c r="G1231" s="93">
        <v>4399432000</v>
      </c>
      <c r="H1231" s="117">
        <v>0.33</v>
      </c>
      <c r="I1231" s="117">
        <v>14.55</v>
      </c>
    </row>
    <row r="1232" spans="1:9">
      <c r="A1232" s="116">
        <v>6228</v>
      </c>
      <c r="B1232" s="91">
        <v>-0.37</v>
      </c>
      <c r="C1232" s="92">
        <v>0.91666666666666663</v>
      </c>
      <c r="D1232" s="94">
        <v>40540540.540540539</v>
      </c>
      <c r="E1232" s="91">
        <f>VLOOKUP(6228,收盤價!A:C,3,0)</f>
        <v>13.3</v>
      </c>
      <c r="F1232" s="93">
        <v>539189189.1891892</v>
      </c>
      <c r="G1232" s="93">
        <v>140981000</v>
      </c>
      <c r="H1232" s="117">
        <v>3.82</v>
      </c>
      <c r="I1232" s="117">
        <v>0</v>
      </c>
    </row>
    <row r="1233" spans="1:9">
      <c r="A1233" s="116">
        <v>6229</v>
      </c>
      <c r="B1233" s="91">
        <v>0</v>
      </c>
      <c r="C1233" s="92">
        <v>0</v>
      </c>
      <c r="D1233" s="94">
        <v>0</v>
      </c>
      <c r="E1233" s="91">
        <f>VLOOKUP(6229,收盤價!A:C,3,0)</f>
        <v>12</v>
      </c>
      <c r="F1233" s="93">
        <v>0</v>
      </c>
      <c r="G1233" s="93">
        <v>906440000</v>
      </c>
      <c r="H1233" s="117">
        <v>0</v>
      </c>
      <c r="I1233" s="117">
        <v>0</v>
      </c>
    </row>
    <row r="1234" spans="1:9">
      <c r="A1234" s="116">
        <v>6230</v>
      </c>
      <c r="B1234" s="91">
        <v>1.18</v>
      </c>
      <c r="C1234" s="92">
        <v>0.81545064377682408</v>
      </c>
      <c r="D1234" s="94">
        <v>86440677.966101706</v>
      </c>
      <c r="E1234" s="91">
        <f>VLOOKUP(6230,收盤價!A:C,3,0)</f>
        <v>73.3</v>
      </c>
      <c r="F1234" s="93">
        <v>6336101694.9152546</v>
      </c>
      <c r="G1234" s="93">
        <v>5757524000</v>
      </c>
      <c r="H1234" s="117">
        <v>1.1000000000000001</v>
      </c>
      <c r="I1234" s="117">
        <v>19.04</v>
      </c>
    </row>
    <row r="1235" spans="1:9">
      <c r="A1235" s="116">
        <v>6231</v>
      </c>
      <c r="B1235" s="91">
        <v>0.66</v>
      </c>
      <c r="C1235" s="92">
        <v>0.7931034482758621</v>
      </c>
      <c r="D1235" s="94">
        <v>37878787.878787875</v>
      </c>
      <c r="E1235" s="91">
        <f>VLOOKUP(6231,收盤價!A:C,3,0)</f>
        <v>30.8</v>
      </c>
      <c r="F1235" s="93">
        <v>1166666666.6666665</v>
      </c>
      <c r="G1235" s="93">
        <v>836226000</v>
      </c>
      <c r="H1235" s="117">
        <v>1.4</v>
      </c>
      <c r="I1235" s="117">
        <v>14.71</v>
      </c>
    </row>
    <row r="1236" spans="1:9">
      <c r="A1236" s="116">
        <v>6233</v>
      </c>
      <c r="B1236" s="91">
        <v>-0.33</v>
      </c>
      <c r="C1236" s="92">
        <v>1</v>
      </c>
      <c r="D1236" s="94">
        <v>84848484.848484844</v>
      </c>
      <c r="E1236" s="91">
        <f>VLOOKUP(6233,收盤價!A:C,3,0)</f>
        <v>14</v>
      </c>
      <c r="F1236" s="93">
        <v>1187878787.8787878</v>
      </c>
      <c r="G1236" s="93">
        <v>381730000</v>
      </c>
      <c r="H1236" s="117">
        <v>3.11</v>
      </c>
      <c r="I1236" s="117">
        <v>0</v>
      </c>
    </row>
    <row r="1237" spans="1:9">
      <c r="A1237" s="116">
        <v>6234</v>
      </c>
      <c r="B1237" s="91">
        <v>1.28</v>
      </c>
      <c r="C1237" s="92">
        <v>5.6074766355140186E-2</v>
      </c>
      <c r="D1237" s="94">
        <v>71093750</v>
      </c>
      <c r="E1237" s="91">
        <f>VLOOKUP(6234,收盤價!A:C,3,0)</f>
        <v>21.2</v>
      </c>
      <c r="F1237" s="93">
        <v>1507187500</v>
      </c>
      <c r="G1237" s="93">
        <v>1221865000</v>
      </c>
      <c r="H1237" s="117">
        <v>1.23</v>
      </c>
      <c r="I1237" s="117">
        <v>73.84</v>
      </c>
    </row>
    <row r="1238" spans="1:9">
      <c r="A1238" s="116">
        <v>6235</v>
      </c>
      <c r="B1238" s="91">
        <v>0.12</v>
      </c>
      <c r="C1238" s="92">
        <v>0</v>
      </c>
      <c r="D1238" s="94">
        <v>158333333.33333334</v>
      </c>
      <c r="E1238" s="91">
        <f>VLOOKUP(6235,收盤價!A:C,3,0)</f>
        <v>9.32</v>
      </c>
      <c r="F1238" s="93">
        <v>1475666666.6666667</v>
      </c>
      <c r="G1238" s="93">
        <v>1551679000</v>
      </c>
      <c r="H1238" s="117">
        <v>0.95</v>
      </c>
      <c r="I1238" s="117">
        <v>0</v>
      </c>
    </row>
    <row r="1239" spans="1:9">
      <c r="A1239" s="116">
        <v>6236</v>
      </c>
      <c r="B1239" s="91">
        <v>-0.35</v>
      </c>
      <c r="C1239" s="92">
        <v>1</v>
      </c>
      <c r="D1239" s="94">
        <v>31428571.428571429</v>
      </c>
      <c r="E1239" s="91">
        <f>VLOOKUP(6236,收盤價!A:C,3,0)</f>
        <v>32.299999999999997</v>
      </c>
      <c r="F1239" s="93">
        <v>1015142857.1428571</v>
      </c>
      <c r="G1239" s="93">
        <v>189461000</v>
      </c>
      <c r="H1239" s="117">
        <v>5.36</v>
      </c>
      <c r="I1239" s="117">
        <v>0</v>
      </c>
    </row>
    <row r="1240" spans="1:9">
      <c r="A1240" s="116">
        <v>6237</v>
      </c>
      <c r="B1240" s="91">
        <v>-0.15</v>
      </c>
      <c r="C1240" s="92">
        <v>1</v>
      </c>
      <c r="D1240" s="94">
        <v>73333333.333333343</v>
      </c>
      <c r="E1240" s="91">
        <f>VLOOKUP(6237,收盤價!A:C,3,0)</f>
        <v>25.1</v>
      </c>
      <c r="F1240" s="93">
        <v>1840666666.666667</v>
      </c>
      <c r="G1240" s="93">
        <v>361600000</v>
      </c>
      <c r="H1240" s="117">
        <v>5.09</v>
      </c>
      <c r="I1240" s="117">
        <v>0</v>
      </c>
    </row>
    <row r="1241" spans="1:9">
      <c r="A1241" s="116">
        <v>6238</v>
      </c>
      <c r="B1241" s="91">
        <v>0.95</v>
      </c>
      <c r="C1241" s="92">
        <v>1</v>
      </c>
      <c r="D1241" s="94">
        <v>40000000</v>
      </c>
      <c r="E1241" s="91">
        <f>VLOOKUP(6238,收盤價!A:C,3,0)</f>
        <v>139.5</v>
      </c>
      <c r="F1241" s="93">
        <v>5580000000</v>
      </c>
      <c r="G1241" s="93">
        <v>2045240000</v>
      </c>
      <c r="H1241" s="117">
        <v>2.73</v>
      </c>
      <c r="I1241" s="117">
        <v>36.71</v>
      </c>
    </row>
    <row r="1242" spans="1:9">
      <c r="A1242" s="116">
        <v>3452</v>
      </c>
      <c r="B1242" s="91">
        <v>-0.34</v>
      </c>
      <c r="C1242" s="92">
        <v>0.9773242630385488</v>
      </c>
      <c r="D1242" s="94">
        <v>770588235.29411757</v>
      </c>
      <c r="E1242" s="91">
        <f>VLOOKUP(3452,收盤價!A:C,3,0)</f>
        <v>12.55</v>
      </c>
      <c r="F1242" s="93">
        <v>9670882352.9411755</v>
      </c>
      <c r="G1242" s="93">
        <v>3865004000</v>
      </c>
      <c r="H1242" s="117">
        <v>2.5</v>
      </c>
      <c r="I1242" s="117">
        <v>0</v>
      </c>
    </row>
    <row r="1243" spans="1:9">
      <c r="A1243" s="116">
        <v>6240</v>
      </c>
      <c r="B1243" s="91">
        <v>-0.06</v>
      </c>
      <c r="C1243" s="92">
        <v>0</v>
      </c>
      <c r="D1243" s="94">
        <v>16666666.666666668</v>
      </c>
      <c r="E1243" s="91">
        <f>VLOOKUP(6240,收盤價!A:C,3,0)</f>
        <v>0</v>
      </c>
      <c r="F1243" s="93">
        <v>0</v>
      </c>
      <c r="G1243" s="93">
        <v>264979000</v>
      </c>
      <c r="H1243" s="117">
        <v>0</v>
      </c>
      <c r="I1243" s="117">
        <v>0</v>
      </c>
    </row>
    <row r="1244" spans="1:9" ht="16.5" customHeight="1">
      <c r="A1244" s="116">
        <v>6241</v>
      </c>
      <c r="B1244" s="91">
        <v>-0.33</v>
      </c>
      <c r="C1244" s="92">
        <v>1</v>
      </c>
      <c r="D1244" s="94">
        <v>24242424.242424242</v>
      </c>
      <c r="E1244" s="91">
        <f>VLOOKUP(6241,收盤價!A:C,3,0)</f>
        <v>13.6</v>
      </c>
      <c r="F1244" s="93">
        <v>329696969.69696969</v>
      </c>
      <c r="G1244" s="93">
        <v>196217000</v>
      </c>
      <c r="H1244" s="117">
        <v>1.68</v>
      </c>
      <c r="I1244" s="117">
        <v>0</v>
      </c>
    </row>
    <row r="1245" spans="1:9">
      <c r="A1245" s="116">
        <v>6242</v>
      </c>
      <c r="B1245" s="91">
        <v>1</v>
      </c>
      <c r="C1245" s="92">
        <v>1</v>
      </c>
      <c r="D1245" s="94">
        <v>20000000</v>
      </c>
      <c r="E1245" s="91">
        <f>VLOOKUP(6242,收盤價!A:C,3,0)</f>
        <v>0</v>
      </c>
      <c r="F1245" s="93">
        <v>0</v>
      </c>
      <c r="G1245" s="93">
        <v>431901000</v>
      </c>
      <c r="H1245" s="117">
        <v>0</v>
      </c>
      <c r="I1245" s="117">
        <v>0</v>
      </c>
    </row>
    <row r="1246" spans="1:9">
      <c r="A1246" s="116">
        <v>6243</v>
      </c>
      <c r="B1246" s="91">
        <v>-0.67</v>
      </c>
      <c r="C1246" s="92">
        <v>0.93939393939393945</v>
      </c>
      <c r="D1246" s="94">
        <v>74626865.671641782</v>
      </c>
      <c r="E1246" s="91">
        <f>VLOOKUP(6243,收盤價!A:C,3,0)</f>
        <v>16.55</v>
      </c>
      <c r="F1246" s="93">
        <v>1235074626.8656716</v>
      </c>
      <c r="G1246" s="93">
        <v>510190000</v>
      </c>
      <c r="H1246" s="117">
        <v>2.42</v>
      </c>
      <c r="I1246" s="117">
        <v>0</v>
      </c>
    </row>
    <row r="1247" spans="1:9">
      <c r="A1247" s="116">
        <v>2545</v>
      </c>
      <c r="B1247" s="91">
        <v>-0.41</v>
      </c>
      <c r="C1247" s="92">
        <v>0</v>
      </c>
      <c r="D1247" s="94">
        <v>329268292.68292683</v>
      </c>
      <c r="E1247" s="91">
        <f>VLOOKUP(2545,收盤價!A:C,3,0)</f>
        <v>27.15</v>
      </c>
      <c r="F1247" s="93">
        <v>8939634146.3414631</v>
      </c>
      <c r="G1247" s="93">
        <v>3807013000</v>
      </c>
      <c r="H1247" s="117">
        <v>2.35</v>
      </c>
      <c r="I1247" s="117">
        <v>0</v>
      </c>
    </row>
    <row r="1248" spans="1:9">
      <c r="A1248" s="116">
        <v>6245</v>
      </c>
      <c r="B1248" s="91">
        <v>0.33</v>
      </c>
      <c r="C1248" s="92">
        <v>0.97777777777777775</v>
      </c>
      <c r="D1248" s="94">
        <v>90909090.909090906</v>
      </c>
      <c r="E1248" s="91">
        <f>VLOOKUP(6245,收盤價!A:C,3,0)</f>
        <v>39.5</v>
      </c>
      <c r="F1248" s="93">
        <v>3590909090.909091</v>
      </c>
      <c r="G1248" s="93">
        <v>5206038000</v>
      </c>
      <c r="H1248" s="117">
        <v>0.69</v>
      </c>
      <c r="I1248" s="117">
        <v>30.6</v>
      </c>
    </row>
    <row r="1249" spans="1:9">
      <c r="A1249" s="116">
        <v>6246</v>
      </c>
      <c r="B1249" s="91">
        <v>0.1</v>
      </c>
      <c r="C1249" s="92">
        <v>0.86567164179104472</v>
      </c>
      <c r="D1249" s="94">
        <v>140000000</v>
      </c>
      <c r="E1249" s="91">
        <f>VLOOKUP(6246,收盤價!A:C,3,0)</f>
        <v>2.87</v>
      </c>
      <c r="F1249" s="93">
        <v>401800000</v>
      </c>
      <c r="G1249" s="93">
        <v>965434000</v>
      </c>
      <c r="H1249" s="117">
        <v>0.42</v>
      </c>
      <c r="I1249" s="117">
        <v>8.2899999999999991</v>
      </c>
    </row>
    <row r="1250" spans="1:9">
      <c r="A1250" s="116">
        <v>6247</v>
      </c>
      <c r="B1250" s="91">
        <v>0.3</v>
      </c>
      <c r="C1250" s="92">
        <v>0.71875</v>
      </c>
      <c r="D1250" s="94">
        <v>60000000</v>
      </c>
      <c r="E1250" s="91">
        <f>VLOOKUP(6247,收盤價!A:C,3,0)</f>
        <v>15</v>
      </c>
      <c r="F1250" s="93">
        <v>900000000</v>
      </c>
      <c r="G1250" s="93">
        <v>1346141000</v>
      </c>
      <c r="H1250" s="117">
        <v>0.67</v>
      </c>
      <c r="I1250" s="117">
        <v>17.39</v>
      </c>
    </row>
    <row r="1251" spans="1:9" ht="16.5" customHeight="1">
      <c r="A1251" s="116">
        <v>6248</v>
      </c>
      <c r="B1251" s="91">
        <v>0.4</v>
      </c>
      <c r="C1251" s="92">
        <v>1</v>
      </c>
      <c r="D1251" s="94">
        <v>20000000</v>
      </c>
      <c r="E1251" s="104">
        <f>VLOOKUP(6248,收盤價!A:C,3,0)</f>
        <v>22.65</v>
      </c>
      <c r="F1251" s="93">
        <v>453000000</v>
      </c>
      <c r="G1251" s="93">
        <v>1420053000</v>
      </c>
      <c r="H1251" s="117">
        <v>0.32</v>
      </c>
      <c r="I1251" s="117">
        <v>14.16</v>
      </c>
    </row>
    <row r="1252" spans="1:9">
      <c r="A1252" s="116">
        <v>6250</v>
      </c>
      <c r="B1252" s="91">
        <v>-2.48</v>
      </c>
      <c r="C1252" s="92">
        <v>0.97826086956521741</v>
      </c>
      <c r="D1252" s="94">
        <v>18145161.290322579</v>
      </c>
      <c r="E1252" s="91" t="e">
        <f>VLOOKUP(6250,收盤價!A:C,3,0)</f>
        <v>#N/A</v>
      </c>
      <c r="F1252" s="93">
        <v>344758064.51612902</v>
      </c>
      <c r="G1252" s="93">
        <v>152518000</v>
      </c>
      <c r="H1252" s="117">
        <v>2.2599999999999998</v>
      </c>
      <c r="I1252" s="117">
        <v>0</v>
      </c>
    </row>
    <row r="1253" spans="1:9">
      <c r="A1253" s="116">
        <v>9908</v>
      </c>
      <c r="B1253" s="91">
        <v>0.33</v>
      </c>
      <c r="C1253" s="92">
        <v>0.52272727272727271</v>
      </c>
      <c r="D1253" s="94">
        <v>496969696.96969694</v>
      </c>
      <c r="E1253" s="91">
        <f>VLOOKUP(9908,收盤價!A:C,3,0)</f>
        <v>22.2</v>
      </c>
      <c r="F1253" s="93">
        <v>11032727272.727272</v>
      </c>
      <c r="G1253" s="93">
        <v>4699295000</v>
      </c>
      <c r="H1253" s="117">
        <v>2.35</v>
      </c>
      <c r="I1253" s="117">
        <v>32.17</v>
      </c>
    </row>
    <row r="1254" spans="1:9">
      <c r="A1254" s="116">
        <v>2436</v>
      </c>
      <c r="B1254" s="91">
        <v>0.16</v>
      </c>
      <c r="C1254" s="92">
        <v>0</v>
      </c>
      <c r="D1254" s="94">
        <v>225000000</v>
      </c>
      <c r="E1254" s="91">
        <f>VLOOKUP(2436,收盤價!A:C,3,0)</f>
        <v>19.95</v>
      </c>
      <c r="F1254" s="93">
        <v>4488750000</v>
      </c>
      <c r="G1254" s="93">
        <v>1759080000</v>
      </c>
      <c r="H1254" s="117">
        <v>2.5499999999999998</v>
      </c>
      <c r="I1254" s="117">
        <v>0</v>
      </c>
    </row>
    <row r="1255" spans="1:9">
      <c r="A1255" s="116">
        <v>6259</v>
      </c>
      <c r="B1255" s="91">
        <v>-0.71</v>
      </c>
      <c r="C1255" s="92">
        <v>0.78947368421052633</v>
      </c>
      <c r="D1255" s="94">
        <v>71830985.915492967</v>
      </c>
      <c r="E1255" s="91">
        <f>VLOOKUP(6259,收盤價!A:C,3,0)</f>
        <v>9.99</v>
      </c>
      <c r="F1255" s="93">
        <v>717591549.2957747</v>
      </c>
      <c r="G1255" s="93">
        <v>1381151000</v>
      </c>
      <c r="H1255" s="117">
        <v>0.52</v>
      </c>
      <c r="I1255" s="117">
        <v>0</v>
      </c>
    </row>
    <row r="1256" spans="1:9">
      <c r="A1256" s="116">
        <v>6261</v>
      </c>
      <c r="B1256" s="91">
        <v>1.07</v>
      </c>
      <c r="C1256" s="92">
        <v>1</v>
      </c>
      <c r="D1256" s="94">
        <v>128037383.17757009</v>
      </c>
      <c r="E1256" s="91">
        <f>VLOOKUP(6261,收盤價!A:C,3,0)</f>
        <v>47.6</v>
      </c>
      <c r="F1256" s="93">
        <v>6094579439.2523365</v>
      </c>
      <c r="G1256" s="93">
        <v>3839466000</v>
      </c>
      <c r="H1256" s="117">
        <v>1.59</v>
      </c>
      <c r="I1256" s="117">
        <v>11.12</v>
      </c>
    </row>
    <row r="1257" spans="1:9">
      <c r="A1257" s="116">
        <v>6263</v>
      </c>
      <c r="B1257" s="91">
        <v>1.1000000000000001</v>
      </c>
      <c r="C1257" s="92">
        <v>0.93846153846153846</v>
      </c>
      <c r="D1257" s="94">
        <v>60909090.909090906</v>
      </c>
      <c r="E1257" s="91">
        <f>VLOOKUP(6263,收盤價!A:C,3,0)</f>
        <v>46</v>
      </c>
      <c r="F1257" s="93">
        <v>2801818181.8181815</v>
      </c>
      <c r="G1257" s="93">
        <v>1301334000</v>
      </c>
      <c r="H1257" s="117">
        <v>2.15</v>
      </c>
      <c r="I1257" s="117">
        <v>11.14</v>
      </c>
    </row>
    <row r="1258" spans="1:9">
      <c r="A1258" s="116">
        <v>6264</v>
      </c>
      <c r="B1258" s="91">
        <v>-0.2</v>
      </c>
      <c r="C1258" s="92">
        <v>0.75</v>
      </c>
      <c r="D1258" s="94">
        <v>135000000</v>
      </c>
      <c r="E1258" s="91">
        <f>VLOOKUP(6264,收盤價!A:C,3,0)</f>
        <v>6.29</v>
      </c>
      <c r="F1258" s="93">
        <v>849150000</v>
      </c>
      <c r="G1258" s="93">
        <v>22585000</v>
      </c>
      <c r="H1258" s="117">
        <v>37.6</v>
      </c>
      <c r="I1258" s="117">
        <v>0</v>
      </c>
    </row>
    <row r="1259" spans="1:9">
      <c r="A1259" s="116">
        <v>6265</v>
      </c>
      <c r="B1259" s="91">
        <v>-0.03</v>
      </c>
      <c r="C1259" s="92">
        <v>1</v>
      </c>
      <c r="D1259" s="94">
        <v>100000000</v>
      </c>
      <c r="E1259" s="91">
        <f>VLOOKUP(6265,收盤價!A:C,3,0)</f>
        <v>7.38</v>
      </c>
      <c r="F1259" s="93">
        <v>738000000</v>
      </c>
      <c r="G1259" s="93">
        <v>10136317000</v>
      </c>
      <c r="H1259" s="117">
        <v>7.0000000000000007E-2</v>
      </c>
      <c r="I1259" s="117">
        <v>0</v>
      </c>
    </row>
    <row r="1260" spans="1:9">
      <c r="A1260" s="116">
        <v>6266</v>
      </c>
      <c r="B1260" s="91">
        <v>0.41</v>
      </c>
      <c r="C1260" s="92">
        <v>1</v>
      </c>
      <c r="D1260" s="94">
        <v>85365853.658536583</v>
      </c>
      <c r="E1260" s="91">
        <f>VLOOKUP(6266,收盤價!A:C,3,0)</f>
        <v>13.7</v>
      </c>
      <c r="F1260" s="93">
        <v>1169512195.1219511</v>
      </c>
      <c r="G1260" s="93">
        <v>2059109000</v>
      </c>
      <c r="H1260" s="117">
        <v>0.56999999999999995</v>
      </c>
      <c r="I1260" s="117">
        <v>8.35</v>
      </c>
    </row>
    <row r="1261" spans="1:9">
      <c r="A1261" s="116">
        <v>1104</v>
      </c>
      <c r="B1261" s="91">
        <v>0.56000000000000005</v>
      </c>
      <c r="C1261" s="92">
        <v>0</v>
      </c>
      <c r="D1261" s="94">
        <v>630357142.85714281</v>
      </c>
      <c r="E1261" s="91">
        <f>VLOOKUP(1104,收盤價!A:C,3,0)</f>
        <v>22.7</v>
      </c>
      <c r="F1261" s="93">
        <v>14309107142.857141</v>
      </c>
      <c r="G1261" s="93">
        <v>5387878000</v>
      </c>
      <c r="H1261" s="117">
        <v>2.66</v>
      </c>
      <c r="I1261" s="117">
        <v>0</v>
      </c>
    </row>
    <row r="1262" spans="1:9">
      <c r="A1262" s="116">
        <v>6270</v>
      </c>
      <c r="B1262" s="91">
        <v>0.03</v>
      </c>
      <c r="C1262" s="92">
        <v>0</v>
      </c>
      <c r="D1262" s="94">
        <v>66666666.666666672</v>
      </c>
      <c r="E1262" s="91">
        <f>VLOOKUP(6270,收盤價!A:C,3,0)</f>
        <v>11.4</v>
      </c>
      <c r="F1262" s="93">
        <v>760000000.00000012</v>
      </c>
      <c r="G1262" s="93">
        <v>2315265000</v>
      </c>
      <c r="H1262" s="117">
        <v>0.33</v>
      </c>
      <c r="I1262" s="117">
        <v>0</v>
      </c>
    </row>
    <row r="1263" spans="1:9">
      <c r="A1263" s="116">
        <v>6271</v>
      </c>
      <c r="B1263" s="91">
        <v>1.1299999999999999</v>
      </c>
      <c r="C1263" s="92">
        <v>1</v>
      </c>
      <c r="D1263" s="94">
        <v>163716814.15929204</v>
      </c>
      <c r="E1263" s="91">
        <f>VLOOKUP(6271,收盤價!A:C,3,0)</f>
        <v>86.1</v>
      </c>
      <c r="F1263" s="93">
        <v>14096017699.115044</v>
      </c>
      <c r="G1263" s="93">
        <v>7894444000</v>
      </c>
      <c r="H1263" s="117">
        <v>1.79</v>
      </c>
      <c r="I1263" s="117">
        <v>19.05</v>
      </c>
    </row>
    <row r="1264" spans="1:9">
      <c r="A1264" s="116">
        <v>9938</v>
      </c>
      <c r="B1264" s="91">
        <v>0.96</v>
      </c>
      <c r="C1264" s="92">
        <v>0.93996247654784237</v>
      </c>
      <c r="D1264" s="94">
        <v>296875000</v>
      </c>
      <c r="E1264" s="91">
        <f>VLOOKUP(9938,收盤價!A:C,3,0)</f>
        <v>80.599999999999994</v>
      </c>
      <c r="F1264" s="93">
        <v>23928125000</v>
      </c>
      <c r="G1264" s="93">
        <v>9379490000</v>
      </c>
      <c r="H1264" s="117">
        <v>2.5499999999999998</v>
      </c>
      <c r="I1264" s="117">
        <v>22.33</v>
      </c>
    </row>
    <row r="1265" spans="1:9">
      <c r="A1265" s="116">
        <v>6275</v>
      </c>
      <c r="B1265" s="91">
        <v>0.17</v>
      </c>
      <c r="C1265" s="92">
        <v>1</v>
      </c>
      <c r="D1265" s="94">
        <v>52941176.47058823</v>
      </c>
      <c r="E1265" s="91">
        <f>VLOOKUP(6275,收盤價!A:C,3,0)</f>
        <v>13.5</v>
      </c>
      <c r="F1265" s="93">
        <v>714705882.35294116</v>
      </c>
      <c r="G1265" s="93">
        <v>2118715000</v>
      </c>
      <c r="H1265" s="117">
        <v>0.34</v>
      </c>
      <c r="I1265" s="117">
        <v>19.850000000000001</v>
      </c>
    </row>
    <row r="1266" spans="1:9">
      <c r="A1266" s="116">
        <v>6276</v>
      </c>
      <c r="B1266" s="91">
        <v>-0.63</v>
      </c>
      <c r="C1266" s="92">
        <v>0.83783783783783783</v>
      </c>
      <c r="D1266" s="94">
        <v>44444444.444444448</v>
      </c>
      <c r="E1266" s="91">
        <f>VLOOKUP(6276,收盤價!A:C,3,0)</f>
        <v>8.07</v>
      </c>
      <c r="F1266" s="93">
        <v>358666666.66666669</v>
      </c>
      <c r="G1266" s="93">
        <v>1360822000</v>
      </c>
      <c r="H1266" s="117">
        <v>0.26</v>
      </c>
      <c r="I1266" s="117">
        <v>0</v>
      </c>
    </row>
    <row r="1267" spans="1:9">
      <c r="A1267" s="116">
        <v>6277</v>
      </c>
      <c r="B1267" s="91">
        <v>1.1399999999999999</v>
      </c>
      <c r="C1267" s="92">
        <v>0.97272727272727277</v>
      </c>
      <c r="D1267" s="94">
        <v>119298245.6140351</v>
      </c>
      <c r="E1267" s="91">
        <f>VLOOKUP(6277,收盤價!A:C,3,0)</f>
        <v>75.099999999999994</v>
      </c>
      <c r="F1267" s="93">
        <v>8959298245.6140347</v>
      </c>
      <c r="G1267" s="93">
        <v>4882555000</v>
      </c>
      <c r="H1267" s="117">
        <v>1.83</v>
      </c>
      <c r="I1267" s="117">
        <v>16.93</v>
      </c>
    </row>
    <row r="1268" spans="1:9">
      <c r="A1268" s="116">
        <v>5007</v>
      </c>
      <c r="B1268" s="91">
        <v>0.76</v>
      </c>
      <c r="C1268" s="92">
        <v>0.91860465116279066</v>
      </c>
      <c r="D1268" s="94">
        <v>269736842.10526317</v>
      </c>
      <c r="E1268" s="91">
        <f>VLOOKUP(5007,收盤價!A:C,3,0)</f>
        <v>67.2</v>
      </c>
      <c r="F1268" s="93">
        <v>18126315789.473686</v>
      </c>
      <c r="G1268" s="93">
        <v>6891821000</v>
      </c>
      <c r="H1268" s="117">
        <v>2.63</v>
      </c>
      <c r="I1268" s="117">
        <v>24.06</v>
      </c>
    </row>
    <row r="1269" spans="1:9">
      <c r="A1269" s="116">
        <v>6279</v>
      </c>
      <c r="B1269" s="91">
        <v>2.16</v>
      </c>
      <c r="C1269" s="92">
        <v>1</v>
      </c>
      <c r="D1269" s="94">
        <v>97222222.222222209</v>
      </c>
      <c r="E1269" s="91">
        <f>VLOOKUP(6279,收盤價!A:C,3,0)</f>
        <v>141</v>
      </c>
      <c r="F1269" s="93">
        <v>13708333333.333332</v>
      </c>
      <c r="G1269" s="93">
        <v>3347147000</v>
      </c>
      <c r="H1269" s="117">
        <v>4.0999999999999996</v>
      </c>
      <c r="I1269" s="117">
        <v>16.32</v>
      </c>
    </row>
    <row r="1270" spans="1:9">
      <c r="A1270" s="116">
        <v>6281</v>
      </c>
      <c r="B1270" s="91">
        <v>1.3</v>
      </c>
      <c r="C1270" s="92">
        <v>0.92028985507246375</v>
      </c>
      <c r="D1270" s="94">
        <v>99230769.230769232</v>
      </c>
      <c r="E1270" s="91">
        <f>VLOOKUP(6281,收盤價!A:C,3,0)</f>
        <v>56.9</v>
      </c>
      <c r="F1270" s="93">
        <v>5646230769.2307692</v>
      </c>
      <c r="G1270" s="93">
        <v>16239640000</v>
      </c>
      <c r="H1270" s="117">
        <v>0.35</v>
      </c>
      <c r="I1270" s="117">
        <v>11.89</v>
      </c>
    </row>
    <row r="1271" spans="1:9">
      <c r="A1271" s="116">
        <v>3105</v>
      </c>
      <c r="B1271" s="91">
        <v>0.72</v>
      </c>
      <c r="C1271" s="92">
        <v>1</v>
      </c>
      <c r="D1271" s="94">
        <v>745833333.33333337</v>
      </c>
      <c r="E1271" s="91">
        <f>VLOOKUP(3105,收盤價!A:C,3,0)</f>
        <v>42.05</v>
      </c>
      <c r="F1271" s="93">
        <v>31362291666.666668</v>
      </c>
      <c r="G1271" s="93">
        <v>11566401000</v>
      </c>
      <c r="H1271" s="117">
        <v>2.71</v>
      </c>
      <c r="I1271" s="117">
        <v>14.6</v>
      </c>
    </row>
    <row r="1272" spans="1:9">
      <c r="A1272" s="116">
        <v>6283</v>
      </c>
      <c r="B1272" s="91">
        <v>0.04</v>
      </c>
      <c r="C1272" s="92">
        <v>0</v>
      </c>
      <c r="D1272" s="94">
        <v>125000000</v>
      </c>
      <c r="E1272" s="91">
        <f>VLOOKUP(6283,收盤價!A:C,3,0)</f>
        <v>4.9400000000000004</v>
      </c>
      <c r="F1272" s="93">
        <v>617500000</v>
      </c>
      <c r="G1272" s="93">
        <v>1005942000</v>
      </c>
      <c r="H1272" s="117">
        <v>0.61</v>
      </c>
      <c r="I1272" s="117">
        <v>0</v>
      </c>
    </row>
    <row r="1273" spans="1:9">
      <c r="A1273" s="116">
        <v>6284</v>
      </c>
      <c r="B1273" s="91">
        <v>-0.46</v>
      </c>
      <c r="C1273" s="92">
        <v>0</v>
      </c>
      <c r="D1273" s="94">
        <v>97826086.956521735</v>
      </c>
      <c r="E1273" s="91">
        <f>VLOOKUP(6284,收盤價!A:C,3,0)</f>
        <v>27</v>
      </c>
      <c r="F1273" s="93">
        <v>2641304347.826087</v>
      </c>
      <c r="G1273" s="93">
        <v>3487669000</v>
      </c>
      <c r="H1273" s="117">
        <v>0.76</v>
      </c>
      <c r="I1273" s="117">
        <v>0</v>
      </c>
    </row>
    <row r="1274" spans="1:9">
      <c r="A1274" s="116">
        <v>6202</v>
      </c>
      <c r="B1274" s="91">
        <v>0.97</v>
      </c>
      <c r="C1274" s="92">
        <v>0.89501312335958005</v>
      </c>
      <c r="D1274" s="94">
        <v>226804123.71134022</v>
      </c>
      <c r="E1274" s="91">
        <f>VLOOKUP(6202,收盤價!A:C,3,0)</f>
        <v>48.7</v>
      </c>
      <c r="F1274" s="93">
        <v>11045360824.74227</v>
      </c>
      <c r="G1274" s="93">
        <v>3959079000</v>
      </c>
      <c r="H1274" s="117">
        <v>2.79</v>
      </c>
      <c r="I1274" s="117">
        <v>14.02</v>
      </c>
    </row>
    <row r="1275" spans="1:9">
      <c r="A1275" s="116">
        <v>6286</v>
      </c>
      <c r="B1275" s="91">
        <v>2.4500000000000002</v>
      </c>
      <c r="C1275" s="92">
        <v>0.95417789757412397</v>
      </c>
      <c r="D1275" s="94">
        <v>148163265.30612245</v>
      </c>
      <c r="E1275" s="91">
        <f>VLOOKUP(6286,收盤價!A:C,3,0)</f>
        <v>189.5</v>
      </c>
      <c r="F1275" s="93">
        <v>28076938775.510204</v>
      </c>
      <c r="G1275" s="93">
        <v>12637199000</v>
      </c>
      <c r="H1275" s="117">
        <v>2.2200000000000002</v>
      </c>
      <c r="I1275" s="117">
        <v>20.27</v>
      </c>
    </row>
    <row r="1276" spans="1:9">
      <c r="A1276" s="116">
        <v>6287</v>
      </c>
      <c r="B1276" s="91">
        <v>-0.45</v>
      </c>
      <c r="C1276" s="92">
        <v>0.95270270270270274</v>
      </c>
      <c r="D1276" s="94">
        <v>182222222.22222221</v>
      </c>
      <c r="E1276" s="91">
        <f>VLOOKUP(6287,收盤價!A:C,3,0)</f>
        <v>3</v>
      </c>
      <c r="F1276" s="93">
        <v>546666666.66666663</v>
      </c>
      <c r="G1276" s="93">
        <v>821642000</v>
      </c>
      <c r="H1276" s="117">
        <v>0.67</v>
      </c>
      <c r="I1276" s="117">
        <v>0</v>
      </c>
    </row>
    <row r="1277" spans="1:9">
      <c r="A1277" s="116">
        <v>3030</v>
      </c>
      <c r="B1277" s="91">
        <v>1.08</v>
      </c>
      <c r="C1277" s="92">
        <v>1</v>
      </c>
      <c r="D1277" s="94">
        <v>236111111.1111111</v>
      </c>
      <c r="E1277" s="91">
        <f>VLOOKUP(3030,收盤價!A:C,3,0)</f>
        <v>60.3</v>
      </c>
      <c r="F1277" s="93">
        <v>14237499999.999998</v>
      </c>
      <c r="G1277" s="93">
        <v>5167879000</v>
      </c>
      <c r="H1277" s="117">
        <v>2.75</v>
      </c>
      <c r="I1277" s="117">
        <v>13.96</v>
      </c>
    </row>
    <row r="1278" spans="1:9">
      <c r="A1278" s="116">
        <v>6290</v>
      </c>
      <c r="B1278" s="91">
        <v>-0.13</v>
      </c>
      <c r="C1278" s="92">
        <v>0</v>
      </c>
      <c r="D1278" s="94">
        <v>138461538.46153846</v>
      </c>
      <c r="E1278" s="91">
        <f>VLOOKUP(6290,收盤價!A:C,3,0)</f>
        <v>25.7</v>
      </c>
      <c r="F1278" s="93">
        <v>3558461538.4615383</v>
      </c>
      <c r="G1278" s="93">
        <v>7010793000</v>
      </c>
      <c r="H1278" s="117">
        <v>0.51</v>
      </c>
      <c r="I1278" s="117">
        <v>0</v>
      </c>
    </row>
    <row r="1279" spans="1:9">
      <c r="A1279" s="116">
        <v>6291</v>
      </c>
      <c r="B1279" s="91">
        <v>-0.17</v>
      </c>
      <c r="C1279" s="92">
        <v>0.8666666666666667</v>
      </c>
      <c r="D1279" s="94">
        <v>23529411.764705881</v>
      </c>
      <c r="E1279" s="91">
        <f>VLOOKUP(6291,收盤價!A:C,3,0)</f>
        <v>0</v>
      </c>
      <c r="F1279" s="93">
        <v>0</v>
      </c>
      <c r="G1279" s="93">
        <v>255443000</v>
      </c>
      <c r="H1279" s="117">
        <v>0</v>
      </c>
      <c r="I1279" s="117">
        <v>0</v>
      </c>
    </row>
    <row r="1280" spans="1:9">
      <c r="A1280" s="116">
        <v>6292</v>
      </c>
      <c r="B1280" s="91">
        <v>0.77</v>
      </c>
      <c r="C1280" s="92">
        <v>0.78125</v>
      </c>
      <c r="D1280" s="94">
        <v>46753246.753246754</v>
      </c>
      <c r="E1280" s="91">
        <f>VLOOKUP(6292,收盤價!A:C,3,0)</f>
        <v>29</v>
      </c>
      <c r="F1280" s="93">
        <v>1355844155.8441558</v>
      </c>
      <c r="G1280" s="93">
        <v>1345867000</v>
      </c>
      <c r="H1280" s="117">
        <v>1.01</v>
      </c>
      <c r="I1280" s="117">
        <v>12.05</v>
      </c>
    </row>
    <row r="1281" spans="1:9">
      <c r="A1281" s="116">
        <v>6294</v>
      </c>
      <c r="B1281" s="91">
        <v>3.38</v>
      </c>
      <c r="C1281" s="92">
        <v>1</v>
      </c>
      <c r="D1281" s="94">
        <v>15384615.384615386</v>
      </c>
      <c r="E1281" s="91">
        <f>VLOOKUP(6294,收盤價!A:C,3,0)</f>
        <v>115.5</v>
      </c>
      <c r="F1281" s="93">
        <v>1776923076.9230771</v>
      </c>
      <c r="G1281" s="93">
        <v>654397000</v>
      </c>
      <c r="H1281" s="117">
        <v>2.72</v>
      </c>
      <c r="I1281" s="117">
        <v>8.5399999999999991</v>
      </c>
    </row>
    <row r="1282" spans="1:9">
      <c r="A1282" s="116">
        <v>6298</v>
      </c>
      <c r="B1282" s="91">
        <v>0.31</v>
      </c>
      <c r="C1282" s="92">
        <v>0.58415841584158412</v>
      </c>
      <c r="D1282" s="94">
        <v>167741935.48387098</v>
      </c>
      <c r="E1282" s="91">
        <f>VLOOKUP(6298,收盤價!A:C,3,0)</f>
        <v>16.100000000000001</v>
      </c>
      <c r="F1282" s="93">
        <v>2700645161.2903233</v>
      </c>
      <c r="G1282" s="93">
        <v>5638441000</v>
      </c>
      <c r="H1282" s="117">
        <v>0.48</v>
      </c>
      <c r="I1282" s="117">
        <v>22.23</v>
      </c>
    </row>
    <row r="1283" spans="1:9">
      <c r="A1283" s="116">
        <v>6404</v>
      </c>
      <c r="B1283" s="91">
        <v>0.74</v>
      </c>
      <c r="C1283" s="92">
        <v>0.8571428571428571</v>
      </c>
      <c r="D1283" s="94">
        <v>37837837.837837838</v>
      </c>
      <c r="E1283" s="91">
        <f>VLOOKUP(6404,收盤價!A:C,3,0)</f>
        <v>52.8</v>
      </c>
      <c r="F1283" s="93">
        <v>1997837837.8378377</v>
      </c>
      <c r="G1283" s="93">
        <v>837501000</v>
      </c>
      <c r="H1283" s="117">
        <v>2.39</v>
      </c>
      <c r="I1283" s="117">
        <v>20.81</v>
      </c>
    </row>
    <row r="1284" spans="1:9">
      <c r="A1284" s="116">
        <v>6405</v>
      </c>
      <c r="B1284" s="91">
        <v>0.12</v>
      </c>
      <c r="C1284" s="92">
        <v>0.90909090909090906</v>
      </c>
      <c r="D1284" s="94">
        <v>66666666.666666672</v>
      </c>
      <c r="E1284" s="91">
        <f>VLOOKUP(6405,收盤價!A:C,3,0)</f>
        <v>26.5</v>
      </c>
      <c r="F1284" s="93">
        <v>1766666666.6666667</v>
      </c>
      <c r="G1284" s="93">
        <v>1431805000</v>
      </c>
      <c r="H1284" s="117">
        <v>1.23</v>
      </c>
      <c r="I1284" s="117">
        <v>60.73</v>
      </c>
    </row>
    <row r="1285" spans="1:9">
      <c r="A1285" s="116">
        <v>6409</v>
      </c>
      <c r="B1285" s="91">
        <v>4.7300000000000004</v>
      </c>
      <c r="C1285" s="92">
        <v>1</v>
      </c>
      <c r="D1285" s="94">
        <v>70824524.312896401</v>
      </c>
      <c r="E1285" s="91">
        <f>VLOOKUP(6409,收盤價!A:C,3,0)</f>
        <v>420</v>
      </c>
      <c r="F1285" s="93">
        <v>29746300211.416489</v>
      </c>
      <c r="G1285" s="93">
        <v>7771924000</v>
      </c>
      <c r="H1285" s="117">
        <v>3.83</v>
      </c>
      <c r="I1285" s="117">
        <v>22.2</v>
      </c>
    </row>
    <row r="1286" spans="1:9">
      <c r="A1286" s="116">
        <v>6411</v>
      </c>
      <c r="B1286" s="91">
        <v>0.24</v>
      </c>
      <c r="C1286" s="92">
        <v>1</v>
      </c>
      <c r="D1286" s="94">
        <v>62500000</v>
      </c>
      <c r="E1286" s="91">
        <f>VLOOKUP(6411,收盤價!A:C,3,0)</f>
        <v>31</v>
      </c>
      <c r="F1286" s="93">
        <v>1937500000</v>
      </c>
      <c r="G1286" s="93">
        <v>1857514000</v>
      </c>
      <c r="H1286" s="117">
        <v>1.04</v>
      </c>
      <c r="I1286" s="117">
        <v>32.29</v>
      </c>
    </row>
    <row r="1287" spans="1:9">
      <c r="A1287" s="116">
        <v>3532</v>
      </c>
      <c r="B1287" s="91">
        <v>0.43</v>
      </c>
      <c r="C1287" s="92">
        <v>1</v>
      </c>
      <c r="D1287" s="94">
        <v>772093023.25581396</v>
      </c>
      <c r="E1287" s="91">
        <f>VLOOKUP(3532,收盤價!A:C,3,0)</f>
        <v>41.5</v>
      </c>
      <c r="F1287" s="93">
        <v>32041860465.11628</v>
      </c>
      <c r="G1287" s="93">
        <v>10941276000</v>
      </c>
      <c r="H1287" s="117">
        <v>2.93</v>
      </c>
      <c r="I1287" s="117">
        <v>24.13</v>
      </c>
    </row>
    <row r="1288" spans="1:9">
      <c r="A1288" s="116">
        <v>6414</v>
      </c>
      <c r="B1288" s="91">
        <v>2.95</v>
      </c>
      <c r="C1288" s="92">
        <v>0.99469496021220161</v>
      </c>
      <c r="D1288" s="94">
        <v>68813559.322033897</v>
      </c>
      <c r="E1288" s="91">
        <f>VLOOKUP(6414,收盤價!A:C,3,0)</f>
        <v>345</v>
      </c>
      <c r="F1288" s="93">
        <v>23740677966.101696</v>
      </c>
      <c r="G1288" s="93">
        <v>9378549000</v>
      </c>
      <c r="H1288" s="117">
        <v>2.5299999999999998</v>
      </c>
      <c r="I1288" s="117">
        <v>29.39</v>
      </c>
    </row>
    <row r="1289" spans="1:9">
      <c r="A1289" s="116">
        <v>6415</v>
      </c>
      <c r="B1289" s="91">
        <v>4.01</v>
      </c>
      <c r="C1289" s="92">
        <v>0.94705882352941173</v>
      </c>
      <c r="D1289" s="94">
        <v>76558603.491271824</v>
      </c>
      <c r="E1289" s="91">
        <f>VLOOKUP(6415,收盤價!A:C,3,0)</f>
        <v>325</v>
      </c>
      <c r="F1289" s="93">
        <v>24881546134.663342</v>
      </c>
      <c r="G1289" s="93">
        <v>4199409000</v>
      </c>
      <c r="H1289" s="117">
        <v>5.93</v>
      </c>
      <c r="I1289" s="117">
        <v>21.39</v>
      </c>
    </row>
    <row r="1290" spans="1:9">
      <c r="A1290" s="116">
        <v>6419</v>
      </c>
      <c r="B1290" s="91">
        <v>0.43</v>
      </c>
      <c r="C1290" s="92">
        <v>1</v>
      </c>
      <c r="D1290" s="94">
        <v>23255813.953488372</v>
      </c>
      <c r="E1290" s="91">
        <f>VLOOKUP(6419,收盤價!A:C,3,0)</f>
        <v>24.25</v>
      </c>
      <c r="F1290" s="93">
        <v>563953488.37209308</v>
      </c>
      <c r="G1290" s="93">
        <v>451461000</v>
      </c>
      <c r="H1290" s="117">
        <v>1.25</v>
      </c>
      <c r="I1290" s="117">
        <v>14.1</v>
      </c>
    </row>
    <row r="1291" spans="1:9">
      <c r="A1291" s="116">
        <v>6422</v>
      </c>
      <c r="B1291" s="91">
        <v>1.46</v>
      </c>
      <c r="C1291" s="92">
        <v>1</v>
      </c>
      <c r="D1291" s="94">
        <v>36986301.369863011</v>
      </c>
      <c r="E1291" s="91">
        <f>VLOOKUP(6422,收盤價!A:C,3,0)</f>
        <v>51.4</v>
      </c>
      <c r="F1291" s="93">
        <v>1901095890.4109588</v>
      </c>
      <c r="G1291" s="93">
        <v>2053464000</v>
      </c>
      <c r="H1291" s="117">
        <v>0.93</v>
      </c>
      <c r="I1291" s="117">
        <v>8.8000000000000007</v>
      </c>
    </row>
    <row r="1292" spans="1:9">
      <c r="A1292" s="116">
        <v>6426</v>
      </c>
      <c r="B1292" s="91">
        <v>0.44</v>
      </c>
      <c r="C1292" s="92">
        <v>1</v>
      </c>
      <c r="D1292" s="94">
        <v>31818181.818181816</v>
      </c>
      <c r="E1292" s="91">
        <f>VLOOKUP(6426,收盤價!A:C,3,0)</f>
        <v>31.7</v>
      </c>
      <c r="F1292" s="93">
        <v>1008636363.6363635</v>
      </c>
      <c r="G1292" s="93">
        <v>502963000</v>
      </c>
      <c r="H1292" s="117">
        <v>2.0099999999999998</v>
      </c>
      <c r="I1292" s="117">
        <v>18.010000000000002</v>
      </c>
    </row>
    <row r="1293" spans="1:9">
      <c r="A1293" s="116">
        <v>6431</v>
      </c>
      <c r="B1293" s="91">
        <v>-1.01</v>
      </c>
      <c r="C1293" s="92">
        <v>1</v>
      </c>
      <c r="D1293" s="94">
        <v>45544554.455445543</v>
      </c>
      <c r="E1293" s="91">
        <f>VLOOKUP(6431,收盤價!A:C,3,0)</f>
        <v>13.8</v>
      </c>
      <c r="F1293" s="93">
        <v>628514851.48514855</v>
      </c>
      <c r="G1293" s="93">
        <v>395295000</v>
      </c>
      <c r="H1293" s="117">
        <v>1.59</v>
      </c>
      <c r="I1293" s="117">
        <v>0</v>
      </c>
    </row>
    <row r="1294" spans="1:9">
      <c r="A1294" s="116">
        <v>6432</v>
      </c>
      <c r="B1294" s="91">
        <v>0.59</v>
      </c>
      <c r="C1294" s="92">
        <v>1</v>
      </c>
      <c r="D1294" s="94">
        <v>18644067.796610169</v>
      </c>
      <c r="E1294" s="91">
        <f>VLOOKUP(6432,收盤價!A:C,3,0)</f>
        <v>30.45</v>
      </c>
      <c r="F1294" s="93">
        <v>567711864.40677965</v>
      </c>
      <c r="G1294" s="93">
        <v>950066000</v>
      </c>
      <c r="H1294" s="117">
        <v>0.6</v>
      </c>
      <c r="I1294" s="117">
        <v>12.9</v>
      </c>
    </row>
    <row r="1295" spans="1:9">
      <c r="A1295" s="116">
        <v>6442</v>
      </c>
      <c r="B1295" s="91">
        <v>0.65</v>
      </c>
      <c r="C1295" s="92">
        <v>1</v>
      </c>
      <c r="D1295" s="94">
        <v>60000000</v>
      </c>
      <c r="E1295" s="91">
        <f>VLOOKUP(6442,收盤價!A:C,3,0)</f>
        <v>55.9</v>
      </c>
      <c r="F1295" s="93">
        <v>3354000000</v>
      </c>
      <c r="G1295" s="93">
        <v>4232642000</v>
      </c>
      <c r="H1295" s="117">
        <v>0.79</v>
      </c>
      <c r="I1295" s="117">
        <v>21.5</v>
      </c>
    </row>
    <row r="1296" spans="1:9">
      <c r="A1296" s="116">
        <v>2505</v>
      </c>
      <c r="B1296" s="91">
        <v>0.68</v>
      </c>
      <c r="C1296" s="92">
        <v>1</v>
      </c>
      <c r="D1296" s="94">
        <v>558823529.41176462</v>
      </c>
      <c r="E1296" s="91">
        <f>VLOOKUP(2505,收盤價!A:C,3,0)</f>
        <v>11.7</v>
      </c>
      <c r="F1296" s="93">
        <v>6538235294.1176453</v>
      </c>
      <c r="G1296" s="93">
        <v>2520640000</v>
      </c>
      <c r="H1296" s="117">
        <v>2.59</v>
      </c>
      <c r="I1296" s="117">
        <v>4.3</v>
      </c>
    </row>
    <row r="1297" spans="1:9">
      <c r="A1297" s="116">
        <v>6449</v>
      </c>
      <c r="B1297" s="91">
        <v>0.53</v>
      </c>
      <c r="C1297" s="92">
        <v>1</v>
      </c>
      <c r="D1297" s="94">
        <v>73584905.660377353</v>
      </c>
      <c r="E1297" s="91">
        <f>VLOOKUP(6449,收盤價!A:C,3,0)</f>
        <v>27.7</v>
      </c>
      <c r="F1297" s="93">
        <v>2038301886.7924526</v>
      </c>
      <c r="G1297" s="93">
        <v>1424947000</v>
      </c>
      <c r="H1297" s="117">
        <v>1.43</v>
      </c>
      <c r="I1297" s="117">
        <v>13.07</v>
      </c>
    </row>
    <row r="1298" spans="1:9">
      <c r="A1298" s="116">
        <v>6451</v>
      </c>
      <c r="B1298" s="91">
        <v>1.77</v>
      </c>
      <c r="C1298" s="92">
        <v>0.83732057416267947</v>
      </c>
      <c r="D1298" s="94">
        <v>105084745.76271187</v>
      </c>
      <c r="E1298" s="91">
        <f>VLOOKUP(6451,收盤價!A:C,3,0)</f>
        <v>105</v>
      </c>
      <c r="F1298" s="93">
        <v>11033898305.084745</v>
      </c>
      <c r="G1298" s="93">
        <v>4477632000</v>
      </c>
      <c r="H1298" s="117">
        <v>2.46</v>
      </c>
      <c r="I1298" s="117">
        <v>17.71</v>
      </c>
    </row>
    <row r="1299" spans="1:9">
      <c r="A1299" s="116">
        <v>6452</v>
      </c>
      <c r="B1299" s="91">
        <v>3.5</v>
      </c>
      <c r="C1299" s="92">
        <v>0.9511627906976744</v>
      </c>
      <c r="D1299" s="94">
        <v>64285714.285714284</v>
      </c>
      <c r="E1299" s="91">
        <f>VLOOKUP(6452,收盤價!A:C,3,0)</f>
        <v>282.5</v>
      </c>
      <c r="F1299" s="93">
        <v>18160714285.714287</v>
      </c>
      <c r="G1299" s="93">
        <v>2797814000</v>
      </c>
      <c r="H1299" s="117">
        <v>6.49</v>
      </c>
      <c r="I1299" s="117">
        <v>21.21</v>
      </c>
    </row>
    <row r="1300" spans="1:9">
      <c r="A1300" s="116">
        <v>2107</v>
      </c>
      <c r="B1300" s="91">
        <v>-0.02</v>
      </c>
      <c r="C1300" s="92">
        <v>1</v>
      </c>
      <c r="D1300" s="94">
        <v>450000000</v>
      </c>
      <c r="E1300" s="91">
        <f>VLOOKUP(2107,收盤價!A:C,3,0)</f>
        <v>18.399999999999999</v>
      </c>
      <c r="F1300" s="93">
        <v>8279999999.999999</v>
      </c>
      <c r="G1300" s="93">
        <v>2971277000</v>
      </c>
      <c r="H1300" s="117">
        <v>2.79</v>
      </c>
      <c r="I1300" s="117">
        <v>0</v>
      </c>
    </row>
    <row r="1301" spans="1:9">
      <c r="A1301" s="116">
        <v>6457</v>
      </c>
      <c r="B1301" s="91">
        <v>0.73</v>
      </c>
      <c r="C1301" s="92">
        <v>1</v>
      </c>
      <c r="D1301" s="94">
        <v>24657534.246575344</v>
      </c>
      <c r="E1301" s="91">
        <f>VLOOKUP(6457,收盤價!A:C,3,0)</f>
        <v>33.65</v>
      </c>
      <c r="F1301" s="93">
        <v>829726027.39726031</v>
      </c>
      <c r="G1301" s="93">
        <v>536309000</v>
      </c>
      <c r="H1301" s="117">
        <v>1.55</v>
      </c>
      <c r="I1301" s="117">
        <v>11.52</v>
      </c>
    </row>
    <row r="1302" spans="1:9">
      <c r="A1302" s="116">
        <v>1437</v>
      </c>
      <c r="B1302" s="91">
        <v>0.08</v>
      </c>
      <c r="C1302" s="92">
        <v>1</v>
      </c>
      <c r="D1302" s="94">
        <v>200000000</v>
      </c>
      <c r="E1302" s="91">
        <f>VLOOKUP(1437,收盤價!A:C,3,0)</f>
        <v>11.75</v>
      </c>
      <c r="F1302" s="93">
        <v>2350000000</v>
      </c>
      <c r="G1302" s="93">
        <v>861306000</v>
      </c>
      <c r="H1302" s="117">
        <v>2.73</v>
      </c>
      <c r="I1302" s="117">
        <v>36.72</v>
      </c>
    </row>
    <row r="1303" spans="1:9">
      <c r="A1303" s="116">
        <v>6504</v>
      </c>
      <c r="B1303" s="91">
        <v>2.19</v>
      </c>
      <c r="C1303" s="92">
        <v>0.90645161290322585</v>
      </c>
      <c r="D1303" s="94">
        <v>72602739.726027399</v>
      </c>
      <c r="E1303" s="91">
        <f>VLOOKUP(6504,收盤價!A:C,3,0)</f>
        <v>175</v>
      </c>
      <c r="F1303" s="93">
        <v>12705479452.054794</v>
      </c>
      <c r="G1303" s="93">
        <v>5864430000</v>
      </c>
      <c r="H1303" s="117">
        <v>2.17</v>
      </c>
      <c r="I1303" s="117">
        <v>22.04</v>
      </c>
    </row>
    <row r="1304" spans="1:9">
      <c r="A1304" s="116">
        <v>6505</v>
      </c>
      <c r="B1304" s="91">
        <v>2.59</v>
      </c>
      <c r="C1304" s="92">
        <v>0.96838802153953429</v>
      </c>
      <c r="D1304" s="94">
        <v>9533204633.2046337</v>
      </c>
      <c r="E1304" s="91">
        <f>VLOOKUP(6505,收盤價!A:C,3,0)</f>
        <v>79.7</v>
      </c>
      <c r="F1304" s="93">
        <v>759796409266.4093</v>
      </c>
      <c r="G1304" s="93">
        <v>696300889000</v>
      </c>
      <c r="H1304" s="117">
        <v>1.0900000000000001</v>
      </c>
      <c r="I1304" s="117">
        <v>7.94</v>
      </c>
    </row>
    <row r="1305" spans="1:9">
      <c r="A1305" s="116">
        <v>6506</v>
      </c>
      <c r="B1305" s="91">
        <v>0.65</v>
      </c>
      <c r="C1305" s="92">
        <v>1</v>
      </c>
      <c r="D1305" s="94">
        <v>67692307.692307696</v>
      </c>
      <c r="E1305" s="91">
        <f>VLOOKUP(6506,收盤價!A:C,3,0)</f>
        <v>22.45</v>
      </c>
      <c r="F1305" s="93">
        <v>1519692307.6923077</v>
      </c>
      <c r="G1305" s="93">
        <v>1921874000</v>
      </c>
      <c r="H1305" s="117">
        <v>0.79</v>
      </c>
      <c r="I1305" s="117">
        <v>8.6300000000000008</v>
      </c>
    </row>
    <row r="1306" spans="1:9">
      <c r="A1306" s="116">
        <v>6508</v>
      </c>
      <c r="B1306" s="91">
        <v>0.77</v>
      </c>
      <c r="C1306" s="92">
        <v>1</v>
      </c>
      <c r="D1306" s="94">
        <v>77922077.922077924</v>
      </c>
      <c r="E1306" s="91">
        <f>VLOOKUP(6508,收盤價!A:C,3,0)</f>
        <v>28.3</v>
      </c>
      <c r="F1306" s="93">
        <v>2205194805.1948051</v>
      </c>
      <c r="G1306" s="93">
        <v>2515250000</v>
      </c>
      <c r="H1306" s="117">
        <v>0.88</v>
      </c>
      <c r="I1306" s="117">
        <v>9.19</v>
      </c>
    </row>
    <row r="1307" spans="1:9">
      <c r="A1307" s="116">
        <v>6509</v>
      </c>
      <c r="B1307" s="91">
        <v>0.21</v>
      </c>
      <c r="C1307" s="92">
        <v>1</v>
      </c>
      <c r="D1307" s="94">
        <v>161904761.90476191</v>
      </c>
      <c r="E1307" s="91">
        <f>VLOOKUP(6509,收盤價!A:C,3,0)</f>
        <v>19.55</v>
      </c>
      <c r="F1307" s="93">
        <v>3165238095.2380953</v>
      </c>
      <c r="G1307" s="93">
        <v>3176173000</v>
      </c>
      <c r="H1307" s="117">
        <v>1</v>
      </c>
      <c r="I1307" s="117">
        <v>23.27</v>
      </c>
    </row>
    <row r="1308" spans="1:9">
      <c r="A1308" s="116">
        <v>6603</v>
      </c>
      <c r="B1308" s="91">
        <v>0.05</v>
      </c>
      <c r="C1308" s="92">
        <v>0.30769230769230771</v>
      </c>
      <c r="D1308" s="94">
        <v>120000000</v>
      </c>
      <c r="E1308" s="91">
        <f>VLOOKUP(6603,收盤價!A:C,3,0)</f>
        <v>11.4</v>
      </c>
      <c r="F1308" s="93">
        <v>1368000000</v>
      </c>
      <c r="G1308" s="93">
        <v>3051360000</v>
      </c>
      <c r="H1308" s="117">
        <v>0.45</v>
      </c>
      <c r="I1308" s="117">
        <v>185.25</v>
      </c>
    </row>
    <row r="1309" spans="1:9">
      <c r="A1309" s="116">
        <v>6605</v>
      </c>
      <c r="B1309" s="91">
        <v>1.64</v>
      </c>
      <c r="C1309" s="92">
        <v>1</v>
      </c>
      <c r="D1309" s="94">
        <v>165243902.43902439</v>
      </c>
      <c r="E1309" s="91">
        <f>VLOOKUP(6605,收盤價!A:C,3,0)</f>
        <v>107.5</v>
      </c>
      <c r="F1309" s="93">
        <v>17763719512.195122</v>
      </c>
      <c r="G1309" s="93">
        <v>14459876000</v>
      </c>
      <c r="H1309" s="117">
        <v>1.23</v>
      </c>
      <c r="I1309" s="117">
        <v>16.39</v>
      </c>
    </row>
    <row r="1310" spans="1:9">
      <c r="A1310" s="116">
        <v>6609</v>
      </c>
      <c r="B1310" s="91">
        <v>0.41</v>
      </c>
      <c r="C1310" s="92">
        <v>1</v>
      </c>
      <c r="D1310" s="94">
        <v>70731707.317073181</v>
      </c>
      <c r="E1310" s="91">
        <f>VLOOKUP(6609,收盤價!A:C,3,0)</f>
        <v>29.45</v>
      </c>
      <c r="F1310" s="93">
        <v>2083048780.4878051</v>
      </c>
      <c r="G1310" s="93">
        <v>2850342000</v>
      </c>
      <c r="H1310" s="117">
        <v>0.73</v>
      </c>
      <c r="I1310" s="117">
        <v>17.96</v>
      </c>
    </row>
    <row r="1311" spans="1:9">
      <c r="A1311" s="116">
        <v>2704</v>
      </c>
      <c r="B1311" s="91">
        <v>0.19</v>
      </c>
      <c r="C1311" s="92">
        <v>1</v>
      </c>
      <c r="D1311" s="94">
        <v>368421052.63157892</v>
      </c>
      <c r="E1311" s="91">
        <f>VLOOKUP(2704,收盤價!A:C,3,0)</f>
        <v>27.4</v>
      </c>
      <c r="F1311" s="93">
        <v>10094736842.105263</v>
      </c>
      <c r="G1311" s="93">
        <v>3572304000</v>
      </c>
      <c r="H1311" s="117">
        <v>2.83</v>
      </c>
      <c r="I1311" s="117">
        <v>36.049999999999997</v>
      </c>
    </row>
    <row r="1312" spans="1:9">
      <c r="A1312" s="116">
        <v>6803</v>
      </c>
      <c r="B1312" s="91">
        <v>3.11</v>
      </c>
      <c r="C1312" s="92">
        <v>0.92370572207084467</v>
      </c>
      <c r="D1312" s="94">
        <v>65273311.897106111</v>
      </c>
      <c r="E1312" s="91">
        <f>VLOOKUP(6803,收盤價!A:C,3,0)</f>
        <v>163</v>
      </c>
      <c r="F1312" s="93">
        <v>10639549839.228296</v>
      </c>
      <c r="G1312" s="93">
        <v>4026066000</v>
      </c>
      <c r="H1312" s="117">
        <v>2.64</v>
      </c>
      <c r="I1312" s="117">
        <v>14.19</v>
      </c>
    </row>
    <row r="1313" spans="1:9">
      <c r="A1313" s="116">
        <v>8011</v>
      </c>
      <c r="B1313" s="91">
        <v>0.12</v>
      </c>
      <c r="C1313" s="92">
        <v>1</v>
      </c>
      <c r="D1313" s="94">
        <v>108333333.33333334</v>
      </c>
      <c r="E1313" s="91">
        <f>VLOOKUP(8011,收盤價!A:C,3,0)</f>
        <v>24.8</v>
      </c>
      <c r="F1313" s="93">
        <v>2686666666.666667</v>
      </c>
      <c r="G1313" s="93">
        <v>1529439000</v>
      </c>
      <c r="H1313" s="117">
        <v>1.76</v>
      </c>
      <c r="I1313" s="117">
        <v>51.67</v>
      </c>
    </row>
    <row r="1314" spans="1:9">
      <c r="A1314" s="116">
        <v>8016</v>
      </c>
      <c r="B1314" s="91">
        <v>1.33</v>
      </c>
      <c r="C1314" s="92">
        <v>0.99717514124293782</v>
      </c>
      <c r="D1314" s="94">
        <v>118796992.481203</v>
      </c>
      <c r="E1314" s="91">
        <f>VLOOKUP(8016,收盤價!A:C,3,0)</f>
        <v>93.9</v>
      </c>
      <c r="F1314" s="93">
        <v>11155037593.984962</v>
      </c>
      <c r="G1314" s="93">
        <v>8707269000</v>
      </c>
      <c r="H1314" s="117">
        <v>1.28</v>
      </c>
      <c r="I1314" s="117">
        <v>17.7</v>
      </c>
    </row>
    <row r="1315" spans="1:9">
      <c r="A1315" s="116">
        <v>8021</v>
      </c>
      <c r="B1315" s="91">
        <v>0.48</v>
      </c>
      <c r="C1315" s="92">
        <v>1</v>
      </c>
      <c r="D1315" s="94">
        <v>160416666.66666669</v>
      </c>
      <c r="E1315" s="91">
        <f>VLOOKUP(8021,收盤價!A:C,3,0)</f>
        <v>26.6</v>
      </c>
      <c r="F1315" s="93">
        <v>4267083333.333334</v>
      </c>
      <c r="G1315" s="93">
        <v>3455185000</v>
      </c>
      <c r="H1315" s="117">
        <v>1.23</v>
      </c>
      <c r="I1315" s="117">
        <v>13.85</v>
      </c>
    </row>
    <row r="1316" spans="1:9">
      <c r="A1316" s="116">
        <v>8024</v>
      </c>
      <c r="B1316" s="91">
        <v>0.18</v>
      </c>
      <c r="C1316" s="92">
        <v>1</v>
      </c>
      <c r="D1316" s="94">
        <v>44444444.444444448</v>
      </c>
      <c r="E1316" s="91">
        <f>VLOOKUP(8024,收盤價!A:C,3,0)</f>
        <v>11.3</v>
      </c>
      <c r="F1316" s="93">
        <v>502222222.22222227</v>
      </c>
      <c r="G1316" s="93">
        <v>647977000</v>
      </c>
      <c r="H1316" s="117">
        <v>0.78</v>
      </c>
      <c r="I1316" s="117">
        <v>15.69</v>
      </c>
    </row>
    <row r="1317" spans="1:9">
      <c r="A1317" s="116">
        <v>8027</v>
      </c>
      <c r="B1317" s="91">
        <v>-0.14000000000000001</v>
      </c>
      <c r="C1317" s="92">
        <v>1</v>
      </c>
      <c r="D1317" s="94">
        <v>49999999.999999993</v>
      </c>
      <c r="E1317" s="91">
        <f>VLOOKUP(8027,收盤價!A:C,3,0)</f>
        <v>22.1</v>
      </c>
      <c r="F1317" s="93">
        <v>1105000000</v>
      </c>
      <c r="G1317" s="93">
        <v>1861317000</v>
      </c>
      <c r="H1317" s="117">
        <v>0.59</v>
      </c>
      <c r="I1317" s="117">
        <v>0</v>
      </c>
    </row>
    <row r="1318" spans="1:9">
      <c r="A1318" s="116">
        <v>8032</v>
      </c>
      <c r="B1318" s="91">
        <v>0.53</v>
      </c>
      <c r="C1318" s="92">
        <v>0.95744680851063835</v>
      </c>
      <c r="D1318" s="94">
        <v>52830188.679245278</v>
      </c>
      <c r="E1318" s="91">
        <f>VLOOKUP(8032,收盤價!A:C,3,0)</f>
        <v>27.6</v>
      </c>
      <c r="F1318" s="93">
        <v>1458113207.5471697</v>
      </c>
      <c r="G1318" s="93">
        <v>4042528000</v>
      </c>
      <c r="H1318" s="117">
        <v>0.36</v>
      </c>
      <c r="I1318" s="117">
        <v>13.6</v>
      </c>
    </row>
    <row r="1319" spans="1:9">
      <c r="A1319" s="116">
        <v>8033</v>
      </c>
      <c r="B1319" s="91">
        <v>0.2</v>
      </c>
      <c r="C1319" s="92">
        <v>1</v>
      </c>
      <c r="D1319" s="94">
        <v>130000000</v>
      </c>
      <c r="E1319" s="91">
        <f>VLOOKUP(8033,收盤價!A:C,3,0)</f>
        <v>9.4</v>
      </c>
      <c r="F1319" s="93">
        <v>1222000000</v>
      </c>
      <c r="G1319" s="93">
        <v>1014200000</v>
      </c>
      <c r="H1319" s="117">
        <v>1.2</v>
      </c>
      <c r="I1319" s="117">
        <v>11.75</v>
      </c>
    </row>
    <row r="1320" spans="1:9">
      <c r="A1320" s="116">
        <v>8034</v>
      </c>
      <c r="B1320" s="91">
        <v>-0.1</v>
      </c>
      <c r="C1320" s="92">
        <v>0.33333333333333331</v>
      </c>
      <c r="D1320" s="94">
        <v>60000000</v>
      </c>
      <c r="E1320" s="91">
        <f>VLOOKUP(8034,收盤價!A:C,3,0)</f>
        <v>6.5</v>
      </c>
      <c r="F1320" s="93">
        <v>390000000</v>
      </c>
      <c r="G1320" s="93">
        <v>228679000</v>
      </c>
      <c r="H1320" s="117">
        <v>1.71</v>
      </c>
      <c r="I1320" s="117">
        <v>0</v>
      </c>
    </row>
    <row r="1321" spans="1:9">
      <c r="A1321" s="116">
        <v>8038</v>
      </c>
      <c r="B1321" s="91">
        <v>-0.69</v>
      </c>
      <c r="C1321" s="92">
        <v>0.875</v>
      </c>
      <c r="D1321" s="94">
        <v>53623188.405797109</v>
      </c>
      <c r="E1321" s="91">
        <f>VLOOKUP(8038,收盤價!A:C,3,0)</f>
        <v>32</v>
      </c>
      <c r="F1321" s="93">
        <v>1715942028.9855075</v>
      </c>
      <c r="G1321" s="93">
        <v>76997000</v>
      </c>
      <c r="H1321" s="117">
        <v>22.29</v>
      </c>
      <c r="I1321" s="117">
        <v>0</v>
      </c>
    </row>
    <row r="1322" spans="1:9">
      <c r="A1322" s="116">
        <v>2049</v>
      </c>
      <c r="B1322" s="91">
        <v>1.64</v>
      </c>
      <c r="C1322" s="92">
        <v>1</v>
      </c>
      <c r="D1322" s="94">
        <v>260975609.75609758</v>
      </c>
      <c r="E1322" s="91">
        <f>VLOOKUP(2049,收盤價!A:C,3,0)</f>
        <v>179</v>
      </c>
      <c r="F1322" s="93">
        <v>46714634146.341469</v>
      </c>
      <c r="G1322" s="93">
        <v>16246727000</v>
      </c>
      <c r="H1322" s="117">
        <v>2.88</v>
      </c>
      <c r="I1322" s="117">
        <v>27.29</v>
      </c>
    </row>
    <row r="1323" spans="1:9">
      <c r="A1323" s="116">
        <v>8040</v>
      </c>
      <c r="B1323" s="91">
        <v>-0.28000000000000003</v>
      </c>
      <c r="C1323" s="92">
        <v>1</v>
      </c>
      <c r="D1323" s="94">
        <v>82142857.142857134</v>
      </c>
      <c r="E1323" s="91">
        <f>VLOOKUP(8040,收盤價!A:C,3,0)</f>
        <v>8.08</v>
      </c>
      <c r="F1323" s="93">
        <v>663714285.71428561</v>
      </c>
      <c r="G1323" s="93">
        <v>677392000</v>
      </c>
      <c r="H1323" s="117">
        <v>0.98</v>
      </c>
      <c r="I1323" s="117">
        <v>0</v>
      </c>
    </row>
    <row r="1324" spans="1:9">
      <c r="A1324" s="116">
        <v>8042</v>
      </c>
      <c r="B1324" s="91">
        <v>0.73</v>
      </c>
      <c r="C1324" s="92">
        <v>0.68852459016393441</v>
      </c>
      <c r="D1324" s="94">
        <v>105479452.05479452</v>
      </c>
      <c r="E1324" s="91">
        <f>VLOOKUP(8042,收盤價!A:C,3,0)</f>
        <v>38.9</v>
      </c>
      <c r="F1324" s="93">
        <v>4103150684.9315066</v>
      </c>
      <c r="G1324" s="93">
        <v>3035539000</v>
      </c>
      <c r="H1324" s="117">
        <v>1.35</v>
      </c>
      <c r="I1324" s="117">
        <v>19.350000000000001</v>
      </c>
    </row>
    <row r="1325" spans="1:9">
      <c r="A1325" s="116">
        <v>8043</v>
      </c>
      <c r="B1325" s="91">
        <v>0.06</v>
      </c>
      <c r="C1325" s="92">
        <v>1</v>
      </c>
      <c r="D1325" s="94">
        <v>83333333.333333343</v>
      </c>
      <c r="E1325" s="91">
        <f>VLOOKUP(8043,收盤價!A:C,3,0)</f>
        <v>14</v>
      </c>
      <c r="F1325" s="93">
        <v>1166666666.6666667</v>
      </c>
      <c r="G1325" s="93">
        <v>5042550000</v>
      </c>
      <c r="H1325" s="117">
        <v>0.23</v>
      </c>
      <c r="I1325" s="117">
        <v>58.33</v>
      </c>
    </row>
    <row r="1326" spans="1:9">
      <c r="A1326" s="116">
        <v>8044</v>
      </c>
      <c r="B1326" s="91">
        <v>1.82</v>
      </c>
      <c r="C1326" s="92">
        <v>0.98378378378378384</v>
      </c>
      <c r="D1326" s="94">
        <v>86813186.813186809</v>
      </c>
      <c r="E1326" s="91">
        <f>VLOOKUP(8044,收盤價!A:C,3,0)</f>
        <v>362.5</v>
      </c>
      <c r="F1326" s="93">
        <v>31469780219.78022</v>
      </c>
      <c r="G1326" s="93">
        <v>22026785000</v>
      </c>
      <c r="H1326" s="117">
        <v>1.43</v>
      </c>
      <c r="I1326" s="117">
        <v>50.61</v>
      </c>
    </row>
    <row r="1327" spans="1:9">
      <c r="A1327" s="116">
        <v>9917</v>
      </c>
      <c r="B1327" s="91">
        <v>1.17</v>
      </c>
      <c r="C1327" s="92">
        <v>0.8626692456479691</v>
      </c>
      <c r="D1327" s="94">
        <v>440170940.17094022</v>
      </c>
      <c r="E1327" s="91">
        <f>VLOOKUP(9917,收盤價!A:C,3,0)</f>
        <v>95.7</v>
      </c>
      <c r="F1327" s="93">
        <v>42124358974.358978</v>
      </c>
      <c r="G1327" s="93">
        <v>13312864000</v>
      </c>
      <c r="H1327" s="117">
        <v>3.16</v>
      </c>
      <c r="I1327" s="117">
        <v>23.7</v>
      </c>
    </row>
    <row r="1328" spans="1:9">
      <c r="A1328" s="116">
        <v>8047</v>
      </c>
      <c r="B1328" s="91">
        <v>0.2</v>
      </c>
      <c r="C1328" s="92">
        <v>1</v>
      </c>
      <c r="D1328" s="94">
        <v>40000000</v>
      </c>
      <c r="E1328" s="91">
        <f>VLOOKUP(8047,收盤價!A:C,3,0)</f>
        <v>11.15</v>
      </c>
      <c r="F1328" s="93">
        <v>446000000</v>
      </c>
      <c r="G1328" s="93">
        <v>827300000</v>
      </c>
      <c r="H1328" s="117">
        <v>0.54</v>
      </c>
      <c r="I1328" s="117">
        <v>13.94</v>
      </c>
    </row>
    <row r="1329" spans="1:9">
      <c r="A1329" s="116">
        <v>8048</v>
      </c>
      <c r="B1329" s="91">
        <v>0.97</v>
      </c>
      <c r="C1329" s="92">
        <v>1</v>
      </c>
      <c r="D1329" s="94">
        <v>51546391.75257732</v>
      </c>
      <c r="E1329" s="91">
        <f>VLOOKUP(8048,收盤價!A:C,3,0)</f>
        <v>44.75</v>
      </c>
      <c r="F1329" s="93">
        <v>2306701030.927835</v>
      </c>
      <c r="G1329" s="93">
        <v>1498016000</v>
      </c>
      <c r="H1329" s="117">
        <v>1.54</v>
      </c>
      <c r="I1329" s="117">
        <v>11.53</v>
      </c>
    </row>
    <row r="1330" spans="1:9">
      <c r="A1330" s="116">
        <v>8049</v>
      </c>
      <c r="B1330" s="91">
        <v>0.25</v>
      </c>
      <c r="C1330" s="92">
        <v>1</v>
      </c>
      <c r="D1330" s="94">
        <v>128000000</v>
      </c>
      <c r="E1330" s="91">
        <f>VLOOKUP(8049,收盤價!A:C,3,0)</f>
        <v>9.69</v>
      </c>
      <c r="F1330" s="93">
        <v>1240320000</v>
      </c>
      <c r="G1330" s="93">
        <v>1409246000</v>
      </c>
      <c r="H1330" s="117">
        <v>0.88</v>
      </c>
      <c r="I1330" s="117">
        <v>9.69</v>
      </c>
    </row>
    <row r="1331" spans="1:9">
      <c r="A1331" s="116">
        <v>8050</v>
      </c>
      <c r="B1331" s="91">
        <v>0.59</v>
      </c>
      <c r="C1331" s="92">
        <v>1</v>
      </c>
      <c r="D1331" s="94">
        <v>103389830.50847459</v>
      </c>
      <c r="E1331" s="91">
        <f>VLOOKUP(8050,收盤價!A:C,3,0)</f>
        <v>50.3</v>
      </c>
      <c r="F1331" s="93">
        <v>5200508474.5762711</v>
      </c>
      <c r="G1331" s="93">
        <v>4287202000</v>
      </c>
      <c r="H1331" s="117">
        <v>1.21</v>
      </c>
      <c r="I1331" s="117">
        <v>21.31</v>
      </c>
    </row>
    <row r="1332" spans="1:9">
      <c r="A1332" s="116">
        <v>3035</v>
      </c>
      <c r="B1332" s="91">
        <v>0.43</v>
      </c>
      <c r="C1332" s="92">
        <v>1</v>
      </c>
      <c r="D1332" s="94">
        <v>416279069.76744187</v>
      </c>
      <c r="E1332" s="91">
        <f>VLOOKUP(3035,收盤價!A:C,3,0)</f>
        <v>53.3</v>
      </c>
      <c r="F1332" s="93">
        <v>22187674418.604649</v>
      </c>
      <c r="G1332" s="93">
        <v>6387683000</v>
      </c>
      <c r="H1332" s="117">
        <v>3.47</v>
      </c>
      <c r="I1332" s="117">
        <v>30.99</v>
      </c>
    </row>
    <row r="1333" spans="1:9">
      <c r="A1333" s="116">
        <v>8054</v>
      </c>
      <c r="B1333" s="91">
        <v>0.2</v>
      </c>
      <c r="C1333" s="92">
        <v>0.52777777777777779</v>
      </c>
      <c r="D1333" s="94">
        <v>75000000</v>
      </c>
      <c r="E1333" s="91">
        <f>VLOOKUP(8054,收盤價!A:C,3,0)</f>
        <v>22.4</v>
      </c>
      <c r="F1333" s="93">
        <v>1680000000</v>
      </c>
      <c r="G1333" s="93">
        <v>2446537000</v>
      </c>
      <c r="H1333" s="117">
        <v>0.69</v>
      </c>
      <c r="I1333" s="117">
        <v>53.05</v>
      </c>
    </row>
    <row r="1334" spans="1:9">
      <c r="A1334" s="116">
        <v>8059</v>
      </c>
      <c r="B1334" s="91">
        <v>0.41</v>
      </c>
      <c r="C1334" s="92">
        <v>0.94871794871794868</v>
      </c>
      <c r="D1334" s="94">
        <v>90243902.439024389</v>
      </c>
      <c r="E1334" s="91">
        <f>VLOOKUP(8059,收盤價!A:C,3,0)</f>
        <v>11.55</v>
      </c>
      <c r="F1334" s="93">
        <v>1042317073.1707318</v>
      </c>
      <c r="G1334" s="93">
        <v>2158492000</v>
      </c>
      <c r="H1334" s="117">
        <v>0.48</v>
      </c>
      <c r="I1334" s="117">
        <v>7.42</v>
      </c>
    </row>
    <row r="1335" spans="1:9">
      <c r="A1335" s="116">
        <v>8064</v>
      </c>
      <c r="B1335" s="91">
        <v>0.1</v>
      </c>
      <c r="C1335" s="92">
        <v>1</v>
      </c>
      <c r="D1335" s="94">
        <v>130000000</v>
      </c>
      <c r="E1335" s="91">
        <f>VLOOKUP(8064,收盤價!A:C,3,0)</f>
        <v>12.8</v>
      </c>
      <c r="F1335" s="93">
        <v>1664000000</v>
      </c>
      <c r="G1335" s="93">
        <v>3126171000</v>
      </c>
      <c r="H1335" s="117">
        <v>0.53</v>
      </c>
      <c r="I1335" s="117">
        <v>32</v>
      </c>
    </row>
    <row r="1336" spans="1:9">
      <c r="A1336" s="116">
        <v>8066</v>
      </c>
      <c r="B1336" s="91">
        <v>2.38</v>
      </c>
      <c r="C1336" s="92">
        <v>1</v>
      </c>
      <c r="D1336" s="94">
        <v>21008403.361344539</v>
      </c>
      <c r="E1336" s="91">
        <f>VLOOKUP(8066,收盤價!A:C,3,0)</f>
        <v>95.1</v>
      </c>
      <c r="F1336" s="93">
        <v>1997899159.6638656</v>
      </c>
      <c r="G1336" s="93">
        <v>5845087000</v>
      </c>
      <c r="H1336" s="117">
        <v>0.34</v>
      </c>
      <c r="I1336" s="117">
        <v>9.99</v>
      </c>
    </row>
    <row r="1337" spans="1:9">
      <c r="A1337" s="116">
        <v>8067</v>
      </c>
      <c r="B1337" s="91">
        <v>-7.0000000000000007E-2</v>
      </c>
      <c r="C1337" s="92">
        <v>1</v>
      </c>
      <c r="D1337" s="94">
        <v>42857142.857142851</v>
      </c>
      <c r="E1337" s="91">
        <f>VLOOKUP(8067,收盤價!A:C,3,0)</f>
        <v>5.71</v>
      </c>
      <c r="F1337" s="93">
        <v>244714285.71428567</v>
      </c>
      <c r="G1337" s="93">
        <v>547506000</v>
      </c>
      <c r="H1337" s="117">
        <v>0.45</v>
      </c>
      <c r="I1337" s="117">
        <v>0</v>
      </c>
    </row>
    <row r="1338" spans="1:9">
      <c r="A1338" s="116">
        <v>8068</v>
      </c>
      <c r="B1338" s="91">
        <v>0.15</v>
      </c>
      <c r="C1338" s="92">
        <v>1</v>
      </c>
      <c r="D1338" s="94">
        <v>33333333.333333336</v>
      </c>
      <c r="E1338" s="91">
        <f>VLOOKUP(8068,收盤價!A:C,3,0)</f>
        <v>15.9</v>
      </c>
      <c r="F1338" s="93">
        <v>530000000.00000006</v>
      </c>
      <c r="G1338" s="93">
        <v>1508699000</v>
      </c>
      <c r="H1338" s="117">
        <v>0.35</v>
      </c>
      <c r="I1338" s="117">
        <v>26.5</v>
      </c>
    </row>
    <row r="1339" spans="1:9">
      <c r="A1339" s="116">
        <v>8069</v>
      </c>
      <c r="B1339" s="91">
        <v>0.09</v>
      </c>
      <c r="C1339" s="92">
        <v>1</v>
      </c>
      <c r="D1339" s="94">
        <v>1166666666.6666667</v>
      </c>
      <c r="E1339" s="91">
        <f>VLOOKUP(8069,收盤價!A:C,3,0)</f>
        <v>16.3</v>
      </c>
      <c r="F1339" s="93">
        <v>19016666666.666668</v>
      </c>
      <c r="G1339" s="93">
        <v>14668578000</v>
      </c>
      <c r="H1339" s="117">
        <v>1.3</v>
      </c>
      <c r="I1339" s="117">
        <v>45.28</v>
      </c>
    </row>
    <row r="1340" spans="1:9">
      <c r="A1340" s="116">
        <v>8070</v>
      </c>
      <c r="B1340" s="91">
        <v>8.7200000000000006</v>
      </c>
      <c r="C1340" s="92">
        <v>0</v>
      </c>
      <c r="D1340" s="94">
        <v>76949541.284403667</v>
      </c>
      <c r="E1340" s="91">
        <f>VLOOKUP(8070,收盤價!A:C,3,0)</f>
        <v>83</v>
      </c>
      <c r="F1340" s="93">
        <v>6386811926.605504</v>
      </c>
      <c r="G1340" s="93">
        <v>16218576000</v>
      </c>
      <c r="H1340" s="117">
        <v>0.39</v>
      </c>
      <c r="I1340" s="117">
        <v>0</v>
      </c>
    </row>
    <row r="1341" spans="1:9">
      <c r="A1341" s="116">
        <v>8071</v>
      </c>
      <c r="B1341" s="91">
        <v>-0.13</v>
      </c>
      <c r="C1341" s="92">
        <v>0</v>
      </c>
      <c r="D1341" s="94">
        <v>53846153.846153848</v>
      </c>
      <c r="E1341" s="91">
        <f>VLOOKUP(8071,收盤價!A:C,3,0)</f>
        <v>14.55</v>
      </c>
      <c r="F1341" s="93">
        <v>783461538.46153855</v>
      </c>
      <c r="G1341" s="93">
        <v>2147841000</v>
      </c>
      <c r="H1341" s="117">
        <v>0.36</v>
      </c>
      <c r="I1341" s="117">
        <v>0</v>
      </c>
    </row>
    <row r="1342" spans="1:9">
      <c r="A1342" s="116">
        <v>8072</v>
      </c>
      <c r="B1342" s="91">
        <v>0.38</v>
      </c>
      <c r="C1342" s="92">
        <v>0.703125</v>
      </c>
      <c r="D1342" s="94">
        <v>100000000</v>
      </c>
      <c r="E1342" s="91">
        <f>VLOOKUP(8072,收盤價!A:C,3,0)</f>
        <v>28.3</v>
      </c>
      <c r="F1342" s="93">
        <v>2830000000</v>
      </c>
      <c r="G1342" s="93">
        <v>1794038000</v>
      </c>
      <c r="H1342" s="117">
        <v>1.58</v>
      </c>
      <c r="I1342" s="117">
        <v>26.48</v>
      </c>
    </row>
    <row r="1343" spans="1:9">
      <c r="A1343" s="116">
        <v>8074</v>
      </c>
      <c r="B1343" s="91">
        <v>0.55000000000000004</v>
      </c>
      <c r="C1343" s="92">
        <v>1</v>
      </c>
      <c r="D1343" s="94">
        <v>63636363.636363633</v>
      </c>
      <c r="E1343" s="91">
        <f>VLOOKUP(8074,收盤價!A:C,3,0)</f>
        <v>25.95</v>
      </c>
      <c r="F1343" s="93">
        <v>1651363636.3636363</v>
      </c>
      <c r="G1343" s="93">
        <v>1213835000</v>
      </c>
      <c r="H1343" s="117">
        <v>1.36</v>
      </c>
      <c r="I1343" s="117">
        <v>11.8</v>
      </c>
    </row>
    <row r="1344" spans="1:9">
      <c r="A1344" s="116">
        <v>3266</v>
      </c>
      <c r="B1344" s="91">
        <v>-0.18</v>
      </c>
      <c r="C1344" s="92">
        <v>1</v>
      </c>
      <c r="D1344" s="94">
        <v>344444444.44444448</v>
      </c>
      <c r="E1344" s="91">
        <f>VLOOKUP(3266,收盤價!A:C,3,0)</f>
        <v>13.35</v>
      </c>
      <c r="F1344" s="93">
        <v>4598333333.333334</v>
      </c>
      <c r="G1344" s="93">
        <v>1386119000</v>
      </c>
      <c r="H1344" s="117">
        <v>3.32</v>
      </c>
      <c r="I1344" s="117">
        <v>0</v>
      </c>
    </row>
    <row r="1345" spans="1:9">
      <c r="A1345" s="116">
        <v>8077</v>
      </c>
      <c r="B1345" s="91">
        <v>0.03</v>
      </c>
      <c r="C1345" s="92">
        <v>0.93333333333333335</v>
      </c>
      <c r="D1345" s="94">
        <v>66666666.666666672</v>
      </c>
      <c r="E1345" s="91">
        <f>VLOOKUP(8077,收盤價!A:C,3,0)</f>
        <v>58</v>
      </c>
      <c r="F1345" s="93">
        <v>3866666666.666667</v>
      </c>
      <c r="G1345" s="93">
        <v>116138000</v>
      </c>
      <c r="H1345" s="117">
        <v>33.29</v>
      </c>
      <c r="I1345" s="117">
        <v>517.86</v>
      </c>
    </row>
    <row r="1346" spans="1:9">
      <c r="A1346" s="116">
        <v>8079</v>
      </c>
      <c r="B1346" s="91">
        <v>0.35</v>
      </c>
      <c r="C1346" s="92">
        <v>0.93333333333333335</v>
      </c>
      <c r="D1346" s="94">
        <v>80000000</v>
      </c>
      <c r="E1346" s="91">
        <f>VLOOKUP(8079,收盤價!A:C,3,0)</f>
        <v>12.4</v>
      </c>
      <c r="F1346" s="93">
        <v>992000000</v>
      </c>
      <c r="G1346" s="93">
        <v>500714000</v>
      </c>
      <c r="H1346" s="117">
        <v>1.98</v>
      </c>
      <c r="I1346" s="117">
        <v>9.49</v>
      </c>
    </row>
    <row r="1347" spans="1:9">
      <c r="A1347" s="116">
        <v>8080</v>
      </c>
      <c r="B1347" s="91">
        <v>-0.34</v>
      </c>
      <c r="C1347" s="92">
        <v>1</v>
      </c>
      <c r="D1347" s="94">
        <v>64705882.35294117</v>
      </c>
      <c r="E1347" s="91">
        <f>VLOOKUP(8080,收盤價!A:C,3,0)</f>
        <v>14.1</v>
      </c>
      <c r="F1347" s="93">
        <v>912352941.17647052</v>
      </c>
      <c r="G1347" s="93">
        <v>517916000</v>
      </c>
      <c r="H1347" s="117">
        <v>1.76</v>
      </c>
      <c r="I1347" s="117">
        <v>0</v>
      </c>
    </row>
    <row r="1348" spans="1:9">
      <c r="A1348" s="116">
        <v>8081</v>
      </c>
      <c r="B1348" s="91">
        <v>0.76</v>
      </c>
      <c r="C1348" s="92">
        <v>0.98870056497175141</v>
      </c>
      <c r="D1348" s="94">
        <v>85526315.789473683</v>
      </c>
      <c r="E1348" s="91">
        <f>VLOOKUP(8081,收盤價!A:C,3,0)</f>
        <v>59.8</v>
      </c>
      <c r="F1348" s="93">
        <v>5114473684.2105255</v>
      </c>
      <c r="G1348" s="93">
        <v>3599865000</v>
      </c>
      <c r="H1348" s="117">
        <v>1.42</v>
      </c>
      <c r="I1348" s="117">
        <v>19.899999999999999</v>
      </c>
    </row>
    <row r="1349" spans="1:9">
      <c r="A1349" s="116">
        <v>8082</v>
      </c>
      <c r="B1349" s="91">
        <v>-0.22</v>
      </c>
      <c r="C1349" s="92">
        <v>0.23076923076923078</v>
      </c>
      <c r="D1349" s="94">
        <v>100000000</v>
      </c>
      <c r="E1349" s="91">
        <f>VLOOKUP(8082,收盤價!A:C,3,0)</f>
        <v>2</v>
      </c>
      <c r="F1349" s="93">
        <v>200000000</v>
      </c>
      <c r="G1349" s="93">
        <v>5329000</v>
      </c>
      <c r="H1349" s="117">
        <v>37.53</v>
      </c>
      <c r="I1349" s="117">
        <v>0</v>
      </c>
    </row>
    <row r="1350" spans="1:9">
      <c r="A1350" s="116">
        <v>8083</v>
      </c>
      <c r="B1350" s="91">
        <v>2.1</v>
      </c>
      <c r="C1350" s="92">
        <v>1</v>
      </c>
      <c r="D1350" s="94">
        <v>35238095.238095239</v>
      </c>
      <c r="E1350" s="91">
        <f>VLOOKUP(8083,收盤價!A:C,3,0)</f>
        <v>134</v>
      </c>
      <c r="F1350" s="93">
        <v>4721904761.9047623</v>
      </c>
      <c r="G1350" s="93">
        <v>1294307000</v>
      </c>
      <c r="H1350" s="117">
        <v>3.65</v>
      </c>
      <c r="I1350" s="117">
        <v>15.95</v>
      </c>
    </row>
    <row r="1351" spans="1:9">
      <c r="A1351" s="116">
        <v>8084</v>
      </c>
      <c r="B1351" s="91">
        <v>-0.36</v>
      </c>
      <c r="C1351" s="92">
        <v>0.60416666666666663</v>
      </c>
      <c r="D1351" s="94">
        <v>52777777.777777776</v>
      </c>
      <c r="E1351" s="91">
        <f>VLOOKUP(8084,收盤價!A:C,3,0)</f>
        <v>19.5</v>
      </c>
      <c r="F1351" s="93">
        <v>1029166666.6666666</v>
      </c>
      <c r="G1351" s="93">
        <v>1880737000</v>
      </c>
      <c r="H1351" s="117">
        <v>0.55000000000000004</v>
      </c>
      <c r="I1351" s="117">
        <v>0</v>
      </c>
    </row>
    <row r="1352" spans="1:9">
      <c r="A1352" s="116">
        <v>8085</v>
      </c>
      <c r="B1352" s="91">
        <v>-0.41</v>
      </c>
      <c r="C1352" s="92">
        <v>0.86746987951807231</v>
      </c>
      <c r="D1352" s="94">
        <v>156097560.97560978</v>
      </c>
      <c r="E1352" s="91">
        <f>VLOOKUP(8085,收盤價!A:C,3,0)</f>
        <v>5.04</v>
      </c>
      <c r="F1352" s="93">
        <v>786731707.31707335</v>
      </c>
      <c r="G1352" s="93">
        <v>1842149000</v>
      </c>
      <c r="H1352" s="117">
        <v>0.43</v>
      </c>
      <c r="I1352" s="117">
        <v>0</v>
      </c>
    </row>
    <row r="1353" spans="1:9">
      <c r="A1353" s="116">
        <v>8086</v>
      </c>
      <c r="B1353" s="91">
        <v>1.93</v>
      </c>
      <c r="C1353" s="92">
        <v>1</v>
      </c>
      <c r="D1353" s="94">
        <v>137305699.48186529</v>
      </c>
      <c r="E1353" s="91">
        <f>VLOOKUP(8086,收盤價!A:C,3,0)</f>
        <v>77.599999999999994</v>
      </c>
      <c r="F1353" s="93">
        <v>10654922279.792746</v>
      </c>
      <c r="G1353" s="93">
        <v>4346712000</v>
      </c>
      <c r="H1353" s="117">
        <v>2.4500000000000002</v>
      </c>
      <c r="I1353" s="117">
        <v>10.050000000000001</v>
      </c>
    </row>
    <row r="1354" spans="1:9">
      <c r="A1354" s="116">
        <v>8087</v>
      </c>
      <c r="B1354" s="91">
        <v>-0.04</v>
      </c>
      <c r="C1354" s="92">
        <v>0.83333333333333337</v>
      </c>
      <c r="D1354" s="94">
        <v>25000000</v>
      </c>
      <c r="E1354" s="91">
        <f>VLOOKUP(8087,收盤價!A:C,3,0)</f>
        <v>8.11</v>
      </c>
      <c r="F1354" s="93">
        <v>202750000</v>
      </c>
      <c r="G1354" s="93">
        <v>147236000</v>
      </c>
      <c r="H1354" s="117">
        <v>1.38</v>
      </c>
      <c r="I1354" s="117">
        <v>0</v>
      </c>
    </row>
    <row r="1355" spans="1:9">
      <c r="A1355" s="116">
        <v>8088</v>
      </c>
      <c r="B1355" s="91">
        <v>0.11</v>
      </c>
      <c r="C1355" s="92">
        <v>1</v>
      </c>
      <c r="D1355" s="94">
        <v>54545454.545454547</v>
      </c>
      <c r="E1355" s="91">
        <f>VLOOKUP(8088,收盤價!A:C,3,0)</f>
        <v>15.65</v>
      </c>
      <c r="F1355" s="93">
        <v>853636363.63636363</v>
      </c>
      <c r="G1355" s="93">
        <v>2275136000</v>
      </c>
      <c r="H1355" s="117">
        <v>0.38</v>
      </c>
      <c r="I1355" s="117">
        <v>35.57</v>
      </c>
    </row>
    <row r="1356" spans="1:9">
      <c r="A1356" s="116">
        <v>8091</v>
      </c>
      <c r="B1356" s="91">
        <v>1.7</v>
      </c>
      <c r="C1356" s="92">
        <v>0.98684210526315785</v>
      </c>
      <c r="D1356" s="94">
        <v>57647058.823529415</v>
      </c>
      <c r="E1356" s="91">
        <f>VLOOKUP(8091,收盤價!A:C,3,0)</f>
        <v>63.2</v>
      </c>
      <c r="F1356" s="93">
        <v>3643294117.647059</v>
      </c>
      <c r="G1356" s="93">
        <v>1872657000</v>
      </c>
      <c r="H1356" s="117">
        <v>1.95</v>
      </c>
      <c r="I1356" s="117">
        <v>9.42</v>
      </c>
    </row>
    <row r="1357" spans="1:9">
      <c r="A1357" s="116">
        <v>8092</v>
      </c>
      <c r="B1357" s="91">
        <v>-0.25</v>
      </c>
      <c r="C1357" s="92">
        <v>1</v>
      </c>
      <c r="D1357" s="94">
        <v>40000000</v>
      </c>
      <c r="E1357" s="91">
        <f>VLOOKUP(8092,收盤價!A:C,3,0)</f>
        <v>9.33</v>
      </c>
      <c r="F1357" s="93">
        <v>373200000</v>
      </c>
      <c r="G1357" s="93">
        <v>441484000</v>
      </c>
      <c r="H1357" s="117">
        <v>0.85</v>
      </c>
      <c r="I1357" s="117">
        <v>0</v>
      </c>
    </row>
    <row r="1358" spans="1:9">
      <c r="A1358" s="116">
        <v>8093</v>
      </c>
      <c r="B1358" s="91">
        <v>-0.48</v>
      </c>
      <c r="C1358" s="92">
        <v>0.63636363636363635</v>
      </c>
      <c r="D1358" s="94">
        <v>64583333.333333336</v>
      </c>
      <c r="E1358" s="91">
        <f>VLOOKUP(8093,收盤價!A:C,3,0)</f>
        <v>5.39</v>
      </c>
      <c r="F1358" s="93">
        <v>348104166.66666669</v>
      </c>
      <c r="G1358" s="93">
        <v>572169000</v>
      </c>
      <c r="H1358" s="117">
        <v>0.61</v>
      </c>
      <c r="I1358" s="117">
        <v>0</v>
      </c>
    </row>
    <row r="1359" spans="1:9">
      <c r="A1359" s="116">
        <v>8096</v>
      </c>
      <c r="B1359" s="91">
        <v>0.05</v>
      </c>
      <c r="C1359" s="92">
        <v>1</v>
      </c>
      <c r="D1359" s="94">
        <v>140000000</v>
      </c>
      <c r="E1359" s="91">
        <f>VLOOKUP(8096,收盤價!A:C,3,0)</f>
        <v>19.149999999999999</v>
      </c>
      <c r="F1359" s="93">
        <v>2681000000</v>
      </c>
      <c r="G1359" s="93">
        <v>28763413000</v>
      </c>
      <c r="H1359" s="117">
        <v>0.09</v>
      </c>
      <c r="I1359" s="117">
        <v>95.75</v>
      </c>
    </row>
    <row r="1360" spans="1:9">
      <c r="A1360" s="116">
        <v>8097</v>
      </c>
      <c r="B1360" s="91">
        <v>-0.4</v>
      </c>
      <c r="C1360" s="92">
        <v>1</v>
      </c>
      <c r="D1360" s="94">
        <v>22500000</v>
      </c>
      <c r="E1360" s="91">
        <f>VLOOKUP(8097,收盤價!A:C,3,0)</f>
        <v>0</v>
      </c>
      <c r="F1360" s="93">
        <v>0</v>
      </c>
      <c r="G1360" s="93">
        <v>62421000</v>
      </c>
      <c r="H1360" s="117">
        <v>0</v>
      </c>
      <c r="I1360" s="117">
        <v>0</v>
      </c>
    </row>
    <row r="1361" spans="1:9">
      <c r="A1361" s="116">
        <v>8099</v>
      </c>
      <c r="B1361" s="91">
        <v>0.38</v>
      </c>
      <c r="C1361" s="92">
        <v>1</v>
      </c>
      <c r="D1361" s="94">
        <v>68421052.631578952</v>
      </c>
      <c r="E1361" s="91">
        <f>VLOOKUP(8099,收盤價!A:C,3,0)</f>
        <v>18</v>
      </c>
      <c r="F1361" s="93">
        <v>1231578947.3684211</v>
      </c>
      <c r="G1361" s="93">
        <v>3527222000</v>
      </c>
      <c r="H1361" s="117">
        <v>0.35</v>
      </c>
      <c r="I1361" s="117">
        <v>11.84</v>
      </c>
    </row>
    <row r="1362" spans="1:9">
      <c r="A1362" s="116">
        <v>5512</v>
      </c>
      <c r="B1362" s="91">
        <v>0.24</v>
      </c>
      <c r="C1362" s="92">
        <v>0.33193277310924368</v>
      </c>
      <c r="D1362" s="94">
        <v>745833333.33333337</v>
      </c>
      <c r="E1362" s="91">
        <f>VLOOKUP(5512,收盤價!A:C,3,0)</f>
        <v>10.35</v>
      </c>
      <c r="F1362" s="93">
        <v>7719375000</v>
      </c>
      <c r="G1362" s="93">
        <v>2240748000</v>
      </c>
      <c r="H1362" s="117">
        <v>3.44</v>
      </c>
      <c r="I1362" s="117">
        <v>32.479999999999997</v>
      </c>
    </row>
    <row r="1363" spans="1:9">
      <c r="A1363" s="116">
        <v>8103</v>
      </c>
      <c r="B1363" s="91">
        <v>0.67</v>
      </c>
      <c r="C1363" s="92">
        <v>0.99199999999999999</v>
      </c>
      <c r="D1363" s="94">
        <v>77611940.298507452</v>
      </c>
      <c r="E1363" s="91">
        <f>VLOOKUP(8103,收盤價!A:C,3,0)</f>
        <v>28.05</v>
      </c>
      <c r="F1363" s="93">
        <v>2177014925.3731341</v>
      </c>
      <c r="G1363" s="93">
        <v>3014428000</v>
      </c>
      <c r="H1363" s="117">
        <v>0.72</v>
      </c>
      <c r="I1363" s="117">
        <v>10.55</v>
      </c>
    </row>
    <row r="1364" spans="1:9">
      <c r="A1364" s="116">
        <v>2537</v>
      </c>
      <c r="B1364" s="91">
        <v>0.08</v>
      </c>
      <c r="C1364" s="92">
        <v>1</v>
      </c>
      <c r="D1364" s="94">
        <v>250000000</v>
      </c>
      <c r="E1364" s="91">
        <f>VLOOKUP(2537,收盤價!A:C,3,0)</f>
        <v>8.86</v>
      </c>
      <c r="F1364" s="93">
        <v>2215000000</v>
      </c>
      <c r="G1364" s="93">
        <v>588487000</v>
      </c>
      <c r="H1364" s="117">
        <v>3.76</v>
      </c>
      <c r="I1364" s="117">
        <v>27.69</v>
      </c>
    </row>
    <row r="1365" spans="1:9">
      <c r="A1365" s="116">
        <v>8107</v>
      </c>
      <c r="B1365" s="91">
        <v>0.03</v>
      </c>
      <c r="C1365" s="92">
        <v>0</v>
      </c>
      <c r="D1365" s="94">
        <v>100000000</v>
      </c>
      <c r="E1365" s="91">
        <f>VLOOKUP(8107,收盤價!A:C,3,0)</f>
        <v>17</v>
      </c>
      <c r="F1365" s="93">
        <v>1700000000</v>
      </c>
      <c r="G1365" s="93">
        <v>1126594000</v>
      </c>
      <c r="H1365" s="117">
        <v>1.51</v>
      </c>
      <c r="I1365" s="117">
        <v>0</v>
      </c>
    </row>
    <row r="1366" spans="1:9">
      <c r="A1366" s="116">
        <v>8109</v>
      </c>
      <c r="B1366" s="91">
        <v>1.01</v>
      </c>
      <c r="C1366" s="92">
        <v>1</v>
      </c>
      <c r="D1366" s="94">
        <v>59405940.594059408</v>
      </c>
      <c r="E1366" s="91">
        <f>VLOOKUP(8109,收盤價!A:C,3,0)</f>
        <v>61.7</v>
      </c>
      <c r="F1366" s="93">
        <v>3665346534.6534657</v>
      </c>
      <c r="G1366" s="93">
        <v>898468000</v>
      </c>
      <c r="H1366" s="117">
        <v>4.08</v>
      </c>
      <c r="I1366" s="117">
        <v>15.27</v>
      </c>
    </row>
    <row r="1367" spans="1:9">
      <c r="A1367" s="116">
        <v>1723</v>
      </c>
      <c r="B1367" s="91">
        <v>1.53</v>
      </c>
      <c r="C1367" s="92">
        <v>0.83892617449664431</v>
      </c>
      <c r="D1367" s="94">
        <v>230718954.248366</v>
      </c>
      <c r="E1367" s="91">
        <f>VLOOKUP(1723,收盤價!A:C,3,0)</f>
        <v>126</v>
      </c>
      <c r="F1367" s="93">
        <v>29070588235.294117</v>
      </c>
      <c r="G1367" s="93">
        <v>6655322000</v>
      </c>
      <c r="H1367" s="117">
        <v>4.37</v>
      </c>
      <c r="I1367" s="117">
        <v>24.54</v>
      </c>
    </row>
    <row r="1368" spans="1:9">
      <c r="A1368" s="116">
        <v>8111</v>
      </c>
      <c r="B1368" s="91">
        <v>-0.16</v>
      </c>
      <c r="C1368" s="92">
        <v>0.80769230769230771</v>
      </c>
      <c r="D1368" s="94">
        <v>118750000</v>
      </c>
      <c r="E1368" s="91">
        <f>VLOOKUP(8111,收盤價!A:C,3,0)</f>
        <v>4.7300000000000004</v>
      </c>
      <c r="F1368" s="93">
        <v>561687500</v>
      </c>
      <c r="G1368" s="93">
        <v>869883000</v>
      </c>
      <c r="H1368" s="117">
        <v>0.65</v>
      </c>
      <c r="I1368" s="117">
        <v>0</v>
      </c>
    </row>
    <row r="1369" spans="1:9">
      <c r="A1369" s="116">
        <v>1795</v>
      </c>
      <c r="B1369" s="91">
        <v>0.37</v>
      </c>
      <c r="C1369" s="92">
        <v>1</v>
      </c>
      <c r="D1369" s="94">
        <v>240540540.54054055</v>
      </c>
      <c r="E1369" s="91">
        <f>VLOOKUP(1795,收盤價!A:C,3,0)</f>
        <v>72.900000000000006</v>
      </c>
      <c r="F1369" s="93">
        <v>17535405405.405407</v>
      </c>
      <c r="G1369" s="93">
        <v>4440843000</v>
      </c>
      <c r="H1369" s="117">
        <v>3.95</v>
      </c>
      <c r="I1369" s="117">
        <v>49.26</v>
      </c>
    </row>
    <row r="1370" spans="1:9">
      <c r="A1370" s="116">
        <v>8114</v>
      </c>
      <c r="B1370" s="91">
        <v>2.3199999999999998</v>
      </c>
      <c r="C1370" s="92">
        <v>1</v>
      </c>
      <c r="D1370" s="94">
        <v>67672413.793103456</v>
      </c>
      <c r="E1370" s="91">
        <f>VLOOKUP(8114,收盤價!A:C,3,0)</f>
        <v>170</v>
      </c>
      <c r="F1370" s="93">
        <v>11504310344.827587</v>
      </c>
      <c r="G1370" s="93">
        <v>2839443000</v>
      </c>
      <c r="H1370" s="117">
        <v>4.05</v>
      </c>
      <c r="I1370" s="117">
        <v>18.32</v>
      </c>
    </row>
    <row r="1371" spans="1:9">
      <c r="A1371" s="116">
        <v>8121</v>
      </c>
      <c r="B1371" s="91">
        <v>-0.51</v>
      </c>
      <c r="C1371" s="92">
        <v>1</v>
      </c>
      <c r="D1371" s="94">
        <v>182352941.17647058</v>
      </c>
      <c r="E1371" s="91">
        <f>VLOOKUP(8121,收盤價!A:C,3,0)</f>
        <v>16.8</v>
      </c>
      <c r="F1371" s="93">
        <v>3063529411.7647057</v>
      </c>
      <c r="G1371" s="93">
        <v>2531670000</v>
      </c>
      <c r="H1371" s="117">
        <v>1.21</v>
      </c>
      <c r="I1371" s="117">
        <v>0</v>
      </c>
    </row>
    <row r="1372" spans="1:9">
      <c r="A1372" s="116">
        <v>2841</v>
      </c>
      <c r="B1372" s="91">
        <v>0.3</v>
      </c>
      <c r="C1372" s="92">
        <v>0</v>
      </c>
      <c r="D1372" s="94">
        <v>636666666.66666675</v>
      </c>
      <c r="E1372" s="91">
        <f>VLOOKUP(2841,收盤價!A:C,3,0)</f>
        <v>10.9</v>
      </c>
      <c r="F1372" s="93">
        <v>6939666666.6666679</v>
      </c>
      <c r="G1372" s="93">
        <v>1830878000</v>
      </c>
      <c r="H1372" s="117">
        <v>3.79</v>
      </c>
      <c r="I1372" s="117">
        <v>0</v>
      </c>
    </row>
    <row r="1373" spans="1:9">
      <c r="A1373" s="116">
        <v>8147</v>
      </c>
      <c r="B1373" s="91">
        <v>0.75</v>
      </c>
      <c r="C1373" s="92">
        <v>1</v>
      </c>
      <c r="D1373" s="94">
        <v>21333333.333333332</v>
      </c>
      <c r="E1373" s="91">
        <f>VLOOKUP(8147,收盤價!A:C,3,0)</f>
        <v>55.8</v>
      </c>
      <c r="F1373" s="93">
        <v>1190399999.9999998</v>
      </c>
      <c r="G1373" s="93">
        <v>765681000</v>
      </c>
      <c r="H1373" s="117">
        <v>1.55</v>
      </c>
      <c r="I1373" s="117">
        <v>18.600000000000001</v>
      </c>
    </row>
    <row r="1374" spans="1:9">
      <c r="A1374" s="116">
        <v>8150</v>
      </c>
      <c r="B1374" s="91">
        <v>0.57999999999999996</v>
      </c>
      <c r="C1374" s="92">
        <v>1</v>
      </c>
      <c r="D1374" s="94">
        <v>867241379.31034493</v>
      </c>
      <c r="E1374" s="91">
        <f>VLOOKUP(8150,收盤價!A:C,3,0)</f>
        <v>32.200000000000003</v>
      </c>
      <c r="F1374" s="93">
        <v>27925172413.79311</v>
      </c>
      <c r="G1374" s="93">
        <v>21216569000</v>
      </c>
      <c r="H1374" s="117">
        <v>1.32</v>
      </c>
      <c r="I1374" s="117">
        <v>13.88</v>
      </c>
    </row>
    <row r="1375" spans="1:9">
      <c r="A1375" s="116">
        <v>8155</v>
      </c>
      <c r="B1375" s="91">
        <v>0.01</v>
      </c>
      <c r="C1375" s="92">
        <v>1</v>
      </c>
      <c r="D1375" s="94">
        <v>100000000</v>
      </c>
      <c r="E1375" s="91">
        <f>VLOOKUP(8155,收盤價!A:C,3,0)</f>
        <v>21.25</v>
      </c>
      <c r="F1375" s="93">
        <v>2125000000</v>
      </c>
      <c r="G1375" s="93">
        <v>1666820000</v>
      </c>
      <c r="H1375" s="117">
        <v>1.27</v>
      </c>
      <c r="I1375" s="117">
        <v>531.25</v>
      </c>
    </row>
    <row r="1376" spans="1:9">
      <c r="A1376" s="116">
        <v>2474</v>
      </c>
      <c r="B1376" s="91">
        <v>6.81</v>
      </c>
      <c r="C1376" s="92">
        <v>0.93352863925649054</v>
      </c>
      <c r="D1376" s="94">
        <v>770484581.49779737</v>
      </c>
      <c r="E1376" s="91">
        <f>VLOOKUP(2474,收盤價!A:C,3,0)</f>
        <v>329.5</v>
      </c>
      <c r="F1376" s="93">
        <v>253874669603.52423</v>
      </c>
      <c r="G1376" s="93">
        <v>72840147000</v>
      </c>
      <c r="H1376" s="117">
        <v>3.49</v>
      </c>
      <c r="I1376" s="117">
        <v>12.96</v>
      </c>
    </row>
    <row r="1377" spans="1:9">
      <c r="A1377" s="116">
        <v>8171</v>
      </c>
      <c r="B1377" s="91">
        <v>-0.72</v>
      </c>
      <c r="C1377" s="92">
        <v>0.83333333333333337</v>
      </c>
      <c r="D1377" s="94">
        <v>51388888.888888888</v>
      </c>
      <c r="E1377" s="91">
        <f>VLOOKUP(8171,收盤價!A:C,3,0)</f>
        <v>8.68</v>
      </c>
      <c r="F1377" s="93">
        <v>446055555.55555552</v>
      </c>
      <c r="G1377" s="93">
        <v>2538911000</v>
      </c>
      <c r="H1377" s="117">
        <v>0.18</v>
      </c>
      <c r="I1377" s="117">
        <v>0</v>
      </c>
    </row>
    <row r="1378" spans="1:9">
      <c r="A1378" s="116">
        <v>8176</v>
      </c>
      <c r="B1378" s="91">
        <v>-0.21</v>
      </c>
      <c r="C1378" s="92">
        <v>0.79166666666666663</v>
      </c>
      <c r="D1378" s="94">
        <v>80952380.952380955</v>
      </c>
      <c r="E1378" s="91">
        <f>VLOOKUP(8176,收盤價!A:C,3,0)</f>
        <v>7.9</v>
      </c>
      <c r="F1378" s="93">
        <v>639523809.52380955</v>
      </c>
      <c r="G1378" s="93">
        <v>1183775000</v>
      </c>
      <c r="H1378" s="117">
        <v>0.54</v>
      </c>
      <c r="I1378" s="117">
        <v>0</v>
      </c>
    </row>
    <row r="1379" spans="1:9">
      <c r="A1379" s="116">
        <v>8182</v>
      </c>
      <c r="B1379" s="91">
        <v>7.0000000000000007E-2</v>
      </c>
      <c r="C1379" s="92">
        <v>1</v>
      </c>
      <c r="D1379" s="94">
        <v>99999999.999999985</v>
      </c>
      <c r="E1379" s="91">
        <f>VLOOKUP(8182,收盤價!A:C,3,0)</f>
        <v>12.3</v>
      </c>
      <c r="F1379" s="93">
        <v>1230000000</v>
      </c>
      <c r="G1379" s="93">
        <v>2796011000</v>
      </c>
      <c r="H1379" s="117">
        <v>0.44</v>
      </c>
      <c r="I1379" s="117">
        <v>43.93</v>
      </c>
    </row>
    <row r="1380" spans="1:9">
      <c r="A1380" s="116">
        <v>8183</v>
      </c>
      <c r="B1380" s="91">
        <v>-0.24</v>
      </c>
      <c r="C1380" s="92">
        <v>1</v>
      </c>
      <c r="D1380" s="94">
        <v>112500000</v>
      </c>
      <c r="E1380" s="91">
        <f>VLOOKUP(8183,收盤價!A:C,3,0)</f>
        <v>5.5</v>
      </c>
      <c r="F1380" s="93">
        <v>618750000</v>
      </c>
      <c r="G1380" s="93">
        <v>2795077000</v>
      </c>
      <c r="H1380" s="117">
        <v>0.22</v>
      </c>
      <c r="I1380" s="117">
        <v>0</v>
      </c>
    </row>
    <row r="1381" spans="1:9">
      <c r="A1381" s="116">
        <v>8201</v>
      </c>
      <c r="B1381" s="91">
        <v>-0.66</v>
      </c>
      <c r="C1381" s="92">
        <v>1</v>
      </c>
      <c r="D1381" s="94">
        <v>89393939.393939391</v>
      </c>
      <c r="E1381" s="91">
        <f>VLOOKUP(8201,收盤價!A:C,3,0)</f>
        <v>8.0500000000000007</v>
      </c>
      <c r="F1381" s="93">
        <v>719621212.12121212</v>
      </c>
      <c r="G1381" s="93">
        <v>1006030000</v>
      </c>
      <c r="H1381" s="117">
        <v>0.72</v>
      </c>
      <c r="I1381" s="117">
        <v>0</v>
      </c>
    </row>
    <row r="1382" spans="1:9">
      <c r="A1382" s="116">
        <v>8210</v>
      </c>
      <c r="B1382" s="91">
        <v>0.95</v>
      </c>
      <c r="C1382" s="92">
        <v>0.99004975124378114</v>
      </c>
      <c r="D1382" s="94">
        <v>118947368.42105263</v>
      </c>
      <c r="E1382" s="91">
        <f>VLOOKUP(8210,收盤價!A:C,3,0)</f>
        <v>38.299999999999997</v>
      </c>
      <c r="F1382" s="93">
        <v>4555684210.5263157</v>
      </c>
      <c r="G1382" s="93">
        <v>4464640000</v>
      </c>
      <c r="H1382" s="117">
        <v>1.02</v>
      </c>
      <c r="I1382" s="117">
        <v>10.18</v>
      </c>
    </row>
    <row r="1383" spans="1:9">
      <c r="A1383" s="116">
        <v>2395</v>
      </c>
      <c r="B1383" s="91">
        <v>2.1</v>
      </c>
      <c r="C1383" s="92">
        <v>0.95226824457593684</v>
      </c>
      <c r="D1383" s="94">
        <v>632380952.38095236</v>
      </c>
      <c r="E1383" s="91">
        <f>VLOOKUP(2395,收盤價!A:C,3,0)</f>
        <v>234</v>
      </c>
      <c r="F1383" s="93">
        <v>147977142857.14285</v>
      </c>
      <c r="G1383" s="93">
        <v>37358501000</v>
      </c>
      <c r="H1383" s="117">
        <v>3.96</v>
      </c>
      <c r="I1383" s="117">
        <v>29.25</v>
      </c>
    </row>
    <row r="1384" spans="1:9">
      <c r="A1384" s="116">
        <v>2455</v>
      </c>
      <c r="B1384" s="91">
        <v>0.7</v>
      </c>
      <c r="C1384" s="92">
        <v>0.99346405228758172</v>
      </c>
      <c r="D1384" s="94">
        <v>247142857.14285716</v>
      </c>
      <c r="E1384" s="91">
        <f>VLOOKUP(2455,收盤價!A:C,3,0)</f>
        <v>40.299999999999997</v>
      </c>
      <c r="F1384" s="93">
        <v>9959857142.8571434</v>
      </c>
      <c r="G1384" s="93">
        <v>2323091000</v>
      </c>
      <c r="H1384" s="117">
        <v>4.29</v>
      </c>
      <c r="I1384" s="117">
        <v>14.49</v>
      </c>
    </row>
    <row r="1385" spans="1:9">
      <c r="A1385" s="116">
        <v>8222</v>
      </c>
      <c r="B1385" s="91">
        <v>0.31</v>
      </c>
      <c r="C1385" s="92">
        <v>1</v>
      </c>
      <c r="D1385" s="94">
        <v>67741935.483870968</v>
      </c>
      <c r="E1385" s="91">
        <f>VLOOKUP(8222,收盤價!A:C,3,0)</f>
        <v>25.2</v>
      </c>
      <c r="F1385" s="93">
        <v>1707096774.1935484</v>
      </c>
      <c r="G1385" s="93">
        <v>868426000</v>
      </c>
      <c r="H1385" s="117">
        <v>1.97</v>
      </c>
      <c r="I1385" s="117">
        <v>20.32</v>
      </c>
    </row>
    <row r="1386" spans="1:9">
      <c r="A1386" s="116">
        <v>8234</v>
      </c>
      <c r="B1386" s="91">
        <v>0.31</v>
      </c>
      <c r="C1386" s="92">
        <v>1</v>
      </c>
      <c r="D1386" s="94">
        <v>138709677.41935483</v>
      </c>
      <c r="E1386" s="91">
        <f>VLOOKUP(8234,收盤價!A:C,3,0)</f>
        <v>30.5</v>
      </c>
      <c r="F1386" s="93">
        <v>4230645161.2903223</v>
      </c>
      <c r="G1386" s="93">
        <v>5437875000</v>
      </c>
      <c r="H1386" s="117">
        <v>0.78</v>
      </c>
      <c r="I1386" s="117">
        <v>24.6</v>
      </c>
    </row>
    <row r="1387" spans="1:9">
      <c r="A1387" s="116">
        <v>8240</v>
      </c>
      <c r="B1387" s="91">
        <v>-0.49</v>
      </c>
      <c r="C1387" s="92">
        <v>0</v>
      </c>
      <c r="D1387" s="94">
        <v>100000000</v>
      </c>
      <c r="E1387" s="91">
        <f>VLOOKUP(8240,收盤價!A:C,3,0)</f>
        <v>22.45</v>
      </c>
      <c r="F1387" s="93">
        <v>2245000000</v>
      </c>
      <c r="G1387" s="93">
        <v>10194553000</v>
      </c>
      <c r="H1387" s="117">
        <v>0.22</v>
      </c>
      <c r="I1387" s="117">
        <v>0</v>
      </c>
    </row>
    <row r="1388" spans="1:9">
      <c r="A1388" s="116">
        <v>8249</v>
      </c>
      <c r="B1388" s="91">
        <v>0.66</v>
      </c>
      <c r="C1388" s="92">
        <v>0.81333333333333335</v>
      </c>
      <c r="D1388" s="94">
        <v>127272727.27272727</v>
      </c>
      <c r="E1388" s="91">
        <f>VLOOKUP(8249,收盤價!A:C,3,0)</f>
        <v>22.7</v>
      </c>
      <c r="F1388" s="93">
        <v>2889090909.090909</v>
      </c>
      <c r="G1388" s="93">
        <v>5210642000</v>
      </c>
      <c r="H1388" s="117">
        <v>0.55000000000000004</v>
      </c>
      <c r="I1388" s="117">
        <v>10.57</v>
      </c>
    </row>
    <row r="1389" spans="1:9">
      <c r="A1389" s="116">
        <v>8255</v>
      </c>
      <c r="B1389" s="91">
        <v>1.94</v>
      </c>
      <c r="C1389" s="92">
        <v>1</v>
      </c>
      <c r="D1389" s="94">
        <v>74226804.123711348</v>
      </c>
      <c r="E1389" s="91">
        <f>VLOOKUP(8255,收盤價!A:C,3,0)</f>
        <v>106</v>
      </c>
      <c r="F1389" s="93">
        <v>7868041237.1134033</v>
      </c>
      <c r="G1389" s="93">
        <v>3485696000</v>
      </c>
      <c r="H1389" s="117">
        <v>2.2599999999999998</v>
      </c>
      <c r="I1389" s="117">
        <v>13.66</v>
      </c>
    </row>
    <row r="1390" spans="1:9">
      <c r="A1390" s="116">
        <v>8261</v>
      </c>
      <c r="B1390" s="91">
        <v>0.13</v>
      </c>
      <c r="C1390" s="92">
        <v>0.91666666666666663</v>
      </c>
      <c r="D1390" s="94">
        <v>176923076.92307693</v>
      </c>
      <c r="E1390" s="91">
        <f>VLOOKUP(8261,收盤價!A:C,3,0)</f>
        <v>30.2</v>
      </c>
      <c r="F1390" s="93">
        <v>5343076923.0769234</v>
      </c>
      <c r="G1390" s="93">
        <v>1764739000</v>
      </c>
      <c r="H1390" s="117">
        <v>3.03</v>
      </c>
      <c r="I1390" s="117">
        <v>63.36</v>
      </c>
    </row>
    <row r="1391" spans="1:9">
      <c r="A1391" s="116">
        <v>8266</v>
      </c>
      <c r="B1391" s="91">
        <v>-0.68</v>
      </c>
      <c r="C1391" s="92">
        <v>0.17518248175182483</v>
      </c>
      <c r="D1391" s="94">
        <v>101470588.2352941</v>
      </c>
      <c r="E1391" s="91">
        <f>VLOOKUP(8266,收盤價!A:C,3,0)</f>
        <v>22.5</v>
      </c>
      <c r="F1391" s="93">
        <v>2283088235.2941175</v>
      </c>
      <c r="G1391" s="93">
        <v>2446067000</v>
      </c>
      <c r="H1391" s="117">
        <v>0.93</v>
      </c>
      <c r="I1391" s="117">
        <v>0</v>
      </c>
    </row>
    <row r="1392" spans="1:9">
      <c r="A1392" s="116">
        <v>8271</v>
      </c>
      <c r="B1392" s="91">
        <v>0.42</v>
      </c>
      <c r="C1392" s="92">
        <v>0.86178861788617889</v>
      </c>
      <c r="D1392" s="94">
        <v>150000000</v>
      </c>
      <c r="E1392" s="91">
        <f>VLOOKUP(8271,收盤價!A:C,3,0)</f>
        <v>18.95</v>
      </c>
      <c r="F1392" s="93">
        <v>2842500000</v>
      </c>
      <c r="G1392" s="93">
        <v>8636163000</v>
      </c>
      <c r="H1392" s="117">
        <v>0.33</v>
      </c>
      <c r="I1392" s="117">
        <v>13.09</v>
      </c>
    </row>
    <row r="1393" spans="1:9">
      <c r="A1393" s="116">
        <v>8277</v>
      </c>
      <c r="B1393" s="91">
        <v>-0.39</v>
      </c>
      <c r="C1393" s="92">
        <v>0.90434782608695652</v>
      </c>
      <c r="D1393" s="94">
        <v>92307692.307692304</v>
      </c>
      <c r="E1393" s="91">
        <f>VLOOKUP(8277,收盤價!A:C,3,0)</f>
        <v>7.03</v>
      </c>
      <c r="F1393" s="93">
        <v>648923076.92307687</v>
      </c>
      <c r="G1393" s="93">
        <v>714132000</v>
      </c>
      <c r="H1393" s="117">
        <v>0.91</v>
      </c>
      <c r="I1393" s="117">
        <v>0</v>
      </c>
    </row>
    <row r="1394" spans="1:9">
      <c r="A1394" s="116">
        <v>8287</v>
      </c>
      <c r="B1394" s="91">
        <v>0.19</v>
      </c>
      <c r="C1394" s="92">
        <v>1</v>
      </c>
      <c r="D1394" s="94">
        <v>142105263.15789473</v>
      </c>
      <c r="E1394" s="91">
        <f>VLOOKUP(8287,收盤價!A:C,3,0)</f>
        <v>17</v>
      </c>
      <c r="F1394" s="93">
        <v>2415789473.6842103</v>
      </c>
      <c r="G1394" s="93">
        <v>14919623000</v>
      </c>
      <c r="H1394" s="117">
        <v>0.16</v>
      </c>
      <c r="I1394" s="117">
        <v>22.37</v>
      </c>
    </row>
    <row r="1395" spans="1:9">
      <c r="A1395" s="116">
        <v>8289</v>
      </c>
      <c r="B1395" s="91">
        <v>0.17</v>
      </c>
      <c r="C1395" s="92">
        <v>1</v>
      </c>
      <c r="D1395" s="94">
        <v>76470588.235294119</v>
      </c>
      <c r="E1395" s="91">
        <f>VLOOKUP(8289,收盤價!A:C,3,0)</f>
        <v>10.75</v>
      </c>
      <c r="F1395" s="93">
        <v>822058823.52941179</v>
      </c>
      <c r="G1395" s="93">
        <v>1622655000</v>
      </c>
      <c r="H1395" s="117">
        <v>0.51</v>
      </c>
      <c r="I1395" s="117">
        <v>15.81</v>
      </c>
    </row>
    <row r="1396" spans="1:9">
      <c r="A1396" s="116">
        <v>8291</v>
      </c>
      <c r="B1396" s="91">
        <v>-0.21</v>
      </c>
      <c r="C1396" s="92">
        <v>1</v>
      </c>
      <c r="D1396" s="94">
        <v>76190476.190476194</v>
      </c>
      <c r="E1396" s="91">
        <f>VLOOKUP(8291,收盤價!A:C,3,0)</f>
        <v>5.99</v>
      </c>
      <c r="F1396" s="93">
        <v>456380952.38095242</v>
      </c>
      <c r="G1396" s="93">
        <v>529614000</v>
      </c>
      <c r="H1396" s="117">
        <v>0.86</v>
      </c>
      <c r="I1396" s="117">
        <v>0</v>
      </c>
    </row>
    <row r="1397" spans="1:9">
      <c r="A1397" s="116">
        <v>8299</v>
      </c>
      <c r="B1397" s="91">
        <v>4.63</v>
      </c>
      <c r="C1397" s="92">
        <v>1</v>
      </c>
      <c r="D1397" s="94">
        <v>197408207.34341252</v>
      </c>
      <c r="E1397" s="91">
        <f>VLOOKUP(8299,收盤價!A:C,3,0)</f>
        <v>226</v>
      </c>
      <c r="F1397" s="93">
        <v>44614254859.611229</v>
      </c>
      <c r="G1397" s="93">
        <v>34773115000</v>
      </c>
      <c r="H1397" s="117">
        <v>1.28</v>
      </c>
      <c r="I1397" s="117">
        <v>12.2</v>
      </c>
    </row>
    <row r="1398" spans="1:9">
      <c r="A1398" s="116">
        <v>8341</v>
      </c>
      <c r="B1398" s="91">
        <v>1.17</v>
      </c>
      <c r="C1398" s="92">
        <v>1</v>
      </c>
      <c r="D1398" s="94">
        <v>111965811.96581197</v>
      </c>
      <c r="E1398" s="91">
        <f>VLOOKUP(8341,收盤價!A:C,3,0)</f>
        <v>99.9</v>
      </c>
      <c r="F1398" s="93">
        <v>11185384615.384617</v>
      </c>
      <c r="G1398" s="93">
        <v>1503067000</v>
      </c>
      <c r="H1398" s="117">
        <v>7.44</v>
      </c>
      <c r="I1398" s="117">
        <v>21.35</v>
      </c>
    </row>
    <row r="1399" spans="1:9">
      <c r="A1399" s="116">
        <v>8349</v>
      </c>
      <c r="B1399" s="91">
        <v>1.64</v>
      </c>
      <c r="C1399" s="92">
        <v>0.82795698924731187</v>
      </c>
      <c r="D1399" s="94">
        <v>91463414.634146348</v>
      </c>
      <c r="E1399" s="91">
        <f>VLOOKUP(8349,收盤價!A:C,3,0)</f>
        <v>82.5</v>
      </c>
      <c r="F1399" s="93">
        <v>7545731707.3170738</v>
      </c>
      <c r="G1399" s="93">
        <v>9838261000</v>
      </c>
      <c r="H1399" s="117">
        <v>0.77</v>
      </c>
      <c r="I1399" s="117">
        <v>15.19</v>
      </c>
    </row>
    <row r="1400" spans="1:9">
      <c r="A1400" s="116">
        <v>8354</v>
      </c>
      <c r="B1400" s="91">
        <v>0.22</v>
      </c>
      <c r="C1400" s="92">
        <v>1</v>
      </c>
      <c r="D1400" s="94">
        <v>63636363.636363633</v>
      </c>
      <c r="E1400" s="91">
        <f>VLOOKUP(8354,收盤價!A:C,3,0)</f>
        <v>14.05</v>
      </c>
      <c r="F1400" s="93">
        <v>894090909.09090912</v>
      </c>
      <c r="G1400" s="93">
        <v>1065351000</v>
      </c>
      <c r="H1400" s="117">
        <v>0.84</v>
      </c>
      <c r="I1400" s="117">
        <v>15.97</v>
      </c>
    </row>
    <row r="1401" spans="1:9">
      <c r="A1401" s="116">
        <v>2534</v>
      </c>
      <c r="B1401" s="91">
        <v>0.77</v>
      </c>
      <c r="C1401" s="92">
        <v>1</v>
      </c>
      <c r="D1401" s="94">
        <v>592207792.20779216</v>
      </c>
      <c r="E1401" s="91">
        <f>VLOOKUP(2534,收盤價!A:C,3,0)</f>
        <v>15.85</v>
      </c>
      <c r="F1401" s="93">
        <v>9386493506.4935055</v>
      </c>
      <c r="G1401" s="93">
        <v>2009445000</v>
      </c>
      <c r="H1401" s="117">
        <v>4.67</v>
      </c>
      <c r="I1401" s="117">
        <v>5.15</v>
      </c>
    </row>
    <row r="1402" spans="1:9">
      <c r="A1402" s="116">
        <v>8374</v>
      </c>
      <c r="B1402" s="91">
        <v>0.18</v>
      </c>
      <c r="C1402" s="92">
        <v>8.6956521739130432E-2</v>
      </c>
      <c r="D1402" s="94">
        <v>88888888.888888896</v>
      </c>
      <c r="E1402" s="91">
        <f>VLOOKUP(8374,收盤價!A:C,3,0)</f>
        <v>13.1</v>
      </c>
      <c r="F1402" s="93">
        <v>1164444444.4444444</v>
      </c>
      <c r="G1402" s="93">
        <v>4294154000</v>
      </c>
      <c r="H1402" s="117">
        <v>0.27</v>
      </c>
      <c r="I1402" s="117">
        <v>209.24</v>
      </c>
    </row>
    <row r="1403" spans="1:9">
      <c r="A1403" s="116">
        <v>8383</v>
      </c>
      <c r="B1403" s="91">
        <v>0.62</v>
      </c>
      <c r="C1403" s="92">
        <v>1</v>
      </c>
      <c r="D1403" s="94">
        <v>116129032.25806452</v>
      </c>
      <c r="E1403" s="91">
        <f>VLOOKUP(8383,收盤價!A:C,3,0)</f>
        <v>54.8</v>
      </c>
      <c r="F1403" s="93">
        <v>6363870967.7419357</v>
      </c>
      <c r="G1403" s="93">
        <v>2948368000</v>
      </c>
      <c r="H1403" s="117">
        <v>2.16</v>
      </c>
      <c r="I1403" s="117">
        <v>22.1</v>
      </c>
    </row>
    <row r="1404" spans="1:9">
      <c r="A1404" s="116">
        <v>8390</v>
      </c>
      <c r="B1404" s="91">
        <v>0.1</v>
      </c>
      <c r="C1404" s="92">
        <v>1</v>
      </c>
      <c r="D1404" s="94">
        <v>80000000</v>
      </c>
      <c r="E1404" s="91">
        <f>VLOOKUP(8390,收盤價!A:C,3,0)</f>
        <v>15.05</v>
      </c>
      <c r="F1404" s="93">
        <v>1204000000</v>
      </c>
      <c r="G1404" s="93">
        <v>3467840000</v>
      </c>
      <c r="H1404" s="117">
        <v>0.35</v>
      </c>
      <c r="I1404" s="117">
        <v>37.619999999999997</v>
      </c>
    </row>
    <row r="1405" spans="1:9">
      <c r="A1405" s="116">
        <v>8401</v>
      </c>
      <c r="B1405" s="91">
        <v>0.4</v>
      </c>
      <c r="C1405" s="92">
        <v>0.86956521739130432</v>
      </c>
      <c r="D1405" s="94">
        <v>60000000</v>
      </c>
      <c r="E1405" s="91">
        <f>VLOOKUP(8401,收盤價!A:C,3,0)</f>
        <v>13</v>
      </c>
      <c r="F1405" s="93">
        <v>780000000</v>
      </c>
      <c r="G1405" s="93">
        <v>1419845000</v>
      </c>
      <c r="H1405" s="117">
        <v>0.55000000000000004</v>
      </c>
      <c r="I1405" s="117">
        <v>9.34</v>
      </c>
    </row>
    <row r="1406" spans="1:9">
      <c r="A1406" s="116">
        <v>8403</v>
      </c>
      <c r="B1406" s="91">
        <v>0.76</v>
      </c>
      <c r="C1406" s="92">
        <v>0.13253012048192772</v>
      </c>
      <c r="D1406" s="94">
        <v>57894736.842105262</v>
      </c>
      <c r="E1406" s="91">
        <f>VLOOKUP(8403,收盤價!A:C,3,0)</f>
        <v>41.3</v>
      </c>
      <c r="F1406" s="93">
        <v>2391052631.5789471</v>
      </c>
      <c r="G1406" s="93">
        <v>2054959000</v>
      </c>
      <c r="H1406" s="117">
        <v>1.1599999999999999</v>
      </c>
      <c r="I1406" s="117">
        <v>102.51</v>
      </c>
    </row>
    <row r="1407" spans="1:9">
      <c r="A1407" s="116">
        <v>1110</v>
      </c>
      <c r="B1407" s="91">
        <v>0.04</v>
      </c>
      <c r="C1407" s="92">
        <v>1</v>
      </c>
      <c r="D1407" s="94">
        <v>625000000</v>
      </c>
      <c r="E1407" s="91">
        <f>VLOOKUP(1110,收盤價!A:C,3,0)</f>
        <v>15.7</v>
      </c>
      <c r="F1407" s="93">
        <v>9812500000</v>
      </c>
      <c r="G1407" s="95">
        <v>2005833000</v>
      </c>
      <c r="H1407" s="117">
        <v>4.8899999999999997</v>
      </c>
      <c r="I1407" s="117">
        <v>98.12</v>
      </c>
    </row>
    <row r="1408" spans="1:9">
      <c r="A1408" s="116">
        <v>8406</v>
      </c>
      <c r="B1408" s="91">
        <v>4.54</v>
      </c>
      <c r="C1408" s="92">
        <v>1</v>
      </c>
      <c r="D1408" s="94">
        <v>92511013.215859026</v>
      </c>
      <c r="E1408" s="91">
        <f>VLOOKUP(8406,收盤價!A:C,3,0)</f>
        <v>349.5</v>
      </c>
      <c r="F1408" s="93">
        <v>32332599118.94273</v>
      </c>
      <c r="G1408" s="93">
        <v>5832925000</v>
      </c>
      <c r="H1408" s="117">
        <v>5.54</v>
      </c>
      <c r="I1408" s="117">
        <v>19.25</v>
      </c>
    </row>
    <row r="1409" spans="1:9">
      <c r="A1409" s="116">
        <v>8409</v>
      </c>
      <c r="B1409" s="91">
        <v>-0.39</v>
      </c>
      <c r="C1409" s="92">
        <v>1</v>
      </c>
      <c r="D1409" s="94">
        <v>28205128.205128204</v>
      </c>
      <c r="E1409" s="91">
        <f>VLOOKUP(8409,收盤價!A:C,3,0)</f>
        <v>26.5</v>
      </c>
      <c r="F1409" s="93">
        <v>747435897.43589735</v>
      </c>
      <c r="G1409" s="93">
        <v>243566000</v>
      </c>
      <c r="H1409" s="117">
        <v>3.07</v>
      </c>
      <c r="I1409" s="117">
        <v>0</v>
      </c>
    </row>
    <row r="1410" spans="1:9">
      <c r="A1410" s="116">
        <v>8410</v>
      </c>
      <c r="B1410" s="91">
        <v>-0.99</v>
      </c>
      <c r="C1410" s="92">
        <v>1</v>
      </c>
      <c r="D1410" s="94">
        <v>36363636.363636367</v>
      </c>
      <c r="E1410" s="91">
        <f>VLOOKUP(8410,收盤價!A:C,3,0)</f>
        <v>18.75</v>
      </c>
      <c r="F1410" s="93">
        <v>681818181.81818187</v>
      </c>
      <c r="G1410" s="93">
        <v>719784000</v>
      </c>
      <c r="H1410" s="117">
        <v>0.95</v>
      </c>
      <c r="I1410" s="117">
        <v>0</v>
      </c>
    </row>
    <row r="1411" spans="1:9">
      <c r="A1411" s="116">
        <v>8411</v>
      </c>
      <c r="B1411" s="91">
        <v>0.17</v>
      </c>
      <c r="C1411" s="92">
        <v>1</v>
      </c>
      <c r="D1411" s="94">
        <v>152941176.47058824</v>
      </c>
      <c r="E1411" s="91">
        <f>VLOOKUP(8411,收盤價!A:C,3,0)</f>
        <v>27.55</v>
      </c>
      <c r="F1411" s="93">
        <v>4213529411.7647061</v>
      </c>
      <c r="G1411" s="93">
        <v>5967417000</v>
      </c>
      <c r="H1411" s="117">
        <v>0.71</v>
      </c>
      <c r="I1411" s="117">
        <v>40.51</v>
      </c>
    </row>
    <row r="1412" spans="1:9">
      <c r="A1412" s="116">
        <v>8416</v>
      </c>
      <c r="B1412" s="91">
        <v>1.94</v>
      </c>
      <c r="C1412" s="92">
        <v>0.90697674418604646</v>
      </c>
      <c r="D1412" s="94">
        <v>25773195.87628866</v>
      </c>
      <c r="E1412" s="91">
        <f>VLOOKUP(8416,收盤價!A:C,3,0)</f>
        <v>102</v>
      </c>
      <c r="F1412" s="93">
        <v>2628865979.3814435</v>
      </c>
      <c r="G1412" s="93">
        <v>816633000</v>
      </c>
      <c r="H1412" s="117">
        <v>3.22</v>
      </c>
      <c r="I1412" s="117">
        <v>14.49</v>
      </c>
    </row>
    <row r="1413" spans="1:9">
      <c r="A1413" s="116">
        <v>8418</v>
      </c>
      <c r="B1413" s="91">
        <v>0.15</v>
      </c>
      <c r="C1413" s="92">
        <v>1</v>
      </c>
      <c r="D1413" s="94">
        <v>66666666.666666672</v>
      </c>
      <c r="E1413" s="91">
        <f>VLOOKUP(8418,收盤價!A:C,3,0)</f>
        <v>17.75</v>
      </c>
      <c r="F1413" s="93">
        <v>1183333333.3333335</v>
      </c>
      <c r="G1413" s="93">
        <v>2457532000</v>
      </c>
      <c r="H1413" s="117">
        <v>0.48</v>
      </c>
      <c r="I1413" s="117">
        <v>29.58</v>
      </c>
    </row>
    <row r="1414" spans="1:9">
      <c r="A1414" s="116">
        <v>8420</v>
      </c>
      <c r="B1414" s="91">
        <v>0.68</v>
      </c>
      <c r="C1414" s="92">
        <v>1</v>
      </c>
      <c r="D1414" s="94">
        <v>51470588.235294111</v>
      </c>
      <c r="E1414" s="91">
        <f>VLOOKUP(8420,收盤價!A:C,3,0)</f>
        <v>23.05</v>
      </c>
      <c r="F1414" s="93">
        <v>1186397058.8235292</v>
      </c>
      <c r="G1414" s="93">
        <v>1195475000</v>
      </c>
      <c r="H1414" s="117">
        <v>0.99</v>
      </c>
      <c r="I1414" s="117">
        <v>8.4700000000000006</v>
      </c>
    </row>
    <row r="1415" spans="1:9">
      <c r="A1415" s="116">
        <v>8421</v>
      </c>
      <c r="B1415" s="91">
        <v>0.11</v>
      </c>
      <c r="C1415" s="92">
        <v>1</v>
      </c>
      <c r="D1415" s="94">
        <v>36363636.363636367</v>
      </c>
      <c r="E1415" s="91">
        <f>VLOOKUP(8421,收盤價!A:C,3,0)</f>
        <v>12.8</v>
      </c>
      <c r="F1415" s="93">
        <v>465454545.4545455</v>
      </c>
      <c r="G1415" s="93">
        <v>1041869000</v>
      </c>
      <c r="H1415" s="117">
        <v>0.45</v>
      </c>
      <c r="I1415" s="117">
        <v>29.09</v>
      </c>
    </row>
    <row r="1416" spans="1:9">
      <c r="A1416" s="116">
        <v>8422</v>
      </c>
      <c r="B1416" s="91">
        <v>2.58</v>
      </c>
      <c r="C1416" s="92">
        <v>0.98618307426597585</v>
      </c>
      <c r="D1416" s="94">
        <v>108914728.68217054</v>
      </c>
      <c r="E1416" s="91">
        <f>VLOOKUP(8422,收盤價!A:C,3,0)</f>
        <v>158</v>
      </c>
      <c r="F1416" s="93">
        <v>17208527131.782944</v>
      </c>
      <c r="G1416" s="93">
        <v>2420102000</v>
      </c>
      <c r="H1416" s="117">
        <v>7.11</v>
      </c>
      <c r="I1416" s="117">
        <v>15.52</v>
      </c>
    </row>
    <row r="1417" spans="1:9">
      <c r="A1417" s="116">
        <v>8423</v>
      </c>
      <c r="B1417" s="91">
        <v>0.21</v>
      </c>
      <c r="C1417" s="92">
        <v>0.7</v>
      </c>
      <c r="D1417" s="94">
        <v>19047619.047619049</v>
      </c>
      <c r="E1417" s="91">
        <f>VLOOKUP(8423,收盤價!A:C,3,0)</f>
        <v>22.6</v>
      </c>
      <c r="F1417" s="93">
        <v>430476190.47619051</v>
      </c>
      <c r="G1417" s="93">
        <v>290815000</v>
      </c>
      <c r="H1417" s="117">
        <v>1.48</v>
      </c>
      <c r="I1417" s="117">
        <v>38.44</v>
      </c>
    </row>
    <row r="1418" spans="1:9">
      <c r="A1418" s="116">
        <v>8424</v>
      </c>
      <c r="B1418" s="91">
        <v>0.99</v>
      </c>
      <c r="C1418" s="92">
        <v>0.92537313432835822</v>
      </c>
      <c r="D1418" s="94">
        <v>36363636.363636367</v>
      </c>
      <c r="E1418" s="91">
        <f>VLOOKUP(8424,收盤價!A:C,3,0)</f>
        <v>38.799999999999997</v>
      </c>
      <c r="F1418" s="93">
        <v>1410909090.909091</v>
      </c>
      <c r="G1418" s="93">
        <v>845451000</v>
      </c>
      <c r="H1418" s="117">
        <v>1.67</v>
      </c>
      <c r="I1418" s="117">
        <v>10.59</v>
      </c>
    </row>
    <row r="1419" spans="1:9">
      <c r="A1419" s="116">
        <v>8426</v>
      </c>
      <c r="B1419" s="91">
        <v>0.28000000000000003</v>
      </c>
      <c r="C1419" s="92">
        <v>0.82499999999999996</v>
      </c>
      <c r="D1419" s="94">
        <v>49999999.999999993</v>
      </c>
      <c r="E1419" s="91">
        <f>VLOOKUP(8426,收盤價!A:C,3,0)</f>
        <v>28.3</v>
      </c>
      <c r="F1419" s="93">
        <v>1414999999.9999998</v>
      </c>
      <c r="G1419" s="93">
        <v>1707550000</v>
      </c>
      <c r="H1419" s="117">
        <v>0.83</v>
      </c>
      <c r="I1419" s="117">
        <v>30.63</v>
      </c>
    </row>
    <row r="1420" spans="1:9">
      <c r="A1420" s="116">
        <v>8427</v>
      </c>
      <c r="B1420" s="91">
        <v>-0.6</v>
      </c>
      <c r="C1420" s="92">
        <v>0.62285714285714289</v>
      </c>
      <c r="D1420" s="94">
        <v>105000000</v>
      </c>
      <c r="E1420" s="91">
        <f>VLOOKUP(8427,收盤價!A:C,3,0)</f>
        <v>49.6</v>
      </c>
      <c r="F1420" s="93">
        <v>5208000000</v>
      </c>
      <c r="G1420" s="93">
        <v>5951381000</v>
      </c>
      <c r="H1420" s="117">
        <v>0.88</v>
      </c>
      <c r="I1420" s="117">
        <v>0</v>
      </c>
    </row>
    <row r="1421" spans="1:9">
      <c r="A1421" s="116">
        <v>8429</v>
      </c>
      <c r="B1421" s="91">
        <v>2.2400000000000002</v>
      </c>
      <c r="C1421" s="92">
        <v>1</v>
      </c>
      <c r="D1421" s="94">
        <v>120982142.85714285</v>
      </c>
      <c r="E1421" s="91">
        <f>VLOOKUP(8429,收盤價!A:C,3,0)</f>
        <v>64.900000000000006</v>
      </c>
      <c r="F1421" s="93">
        <v>7851741071.4285717</v>
      </c>
      <c r="G1421" s="93">
        <v>5678244000</v>
      </c>
      <c r="H1421" s="117">
        <v>1.38</v>
      </c>
      <c r="I1421" s="117">
        <v>7.24</v>
      </c>
    </row>
    <row r="1422" spans="1:9">
      <c r="A1422" s="116">
        <v>8431</v>
      </c>
      <c r="B1422" s="91">
        <v>-0.39</v>
      </c>
      <c r="C1422" s="92">
        <v>0</v>
      </c>
      <c r="D1422" s="94">
        <v>41025641.025641024</v>
      </c>
      <c r="E1422" s="91">
        <f>VLOOKUP(8431,收盤價!A:C,3,0)</f>
        <v>63.8</v>
      </c>
      <c r="F1422" s="93">
        <v>2617435897.4358974</v>
      </c>
      <c r="G1422" s="93">
        <v>945329000</v>
      </c>
      <c r="H1422" s="117">
        <v>2.77</v>
      </c>
      <c r="I1422" s="117">
        <v>0</v>
      </c>
    </row>
    <row r="1423" spans="1:9">
      <c r="A1423" s="116">
        <v>8432</v>
      </c>
      <c r="B1423" s="91">
        <v>0.66</v>
      </c>
      <c r="C1423" s="92">
        <v>0.86486486486486491</v>
      </c>
      <c r="D1423" s="94">
        <v>37878787.878787875</v>
      </c>
      <c r="E1423" s="91">
        <f>VLOOKUP(8432,收盤價!A:C,3,0)</f>
        <v>48</v>
      </c>
      <c r="F1423" s="93">
        <v>1818181818.181818</v>
      </c>
      <c r="G1423" s="93">
        <v>536409000</v>
      </c>
      <c r="H1423" s="117">
        <v>3.39</v>
      </c>
      <c r="I1423" s="117">
        <v>21.02</v>
      </c>
    </row>
    <row r="1424" spans="1:9">
      <c r="A1424" s="116">
        <v>8433</v>
      </c>
      <c r="B1424" s="91">
        <v>1.44</v>
      </c>
      <c r="C1424" s="92">
        <v>1</v>
      </c>
      <c r="D1424" s="94">
        <v>52777777.777777776</v>
      </c>
      <c r="E1424" s="91">
        <f>VLOOKUP(8433,收盤價!A:C,3,0)</f>
        <v>117.5</v>
      </c>
      <c r="F1424" s="93">
        <v>6201388888.8888884</v>
      </c>
      <c r="G1424" s="93">
        <v>2343543000</v>
      </c>
      <c r="H1424" s="117">
        <v>2.65</v>
      </c>
      <c r="I1424" s="117">
        <v>20.399999999999999</v>
      </c>
    </row>
    <row r="1425" spans="1:9">
      <c r="A1425" s="116">
        <v>8435</v>
      </c>
      <c r="B1425" s="91">
        <v>0.77</v>
      </c>
      <c r="C1425" s="92">
        <v>1</v>
      </c>
      <c r="D1425" s="94">
        <v>31168831.16883117</v>
      </c>
      <c r="E1425" s="91">
        <f>VLOOKUP(8435,收盤價!A:C,3,0)</f>
        <v>47.1</v>
      </c>
      <c r="F1425" s="93">
        <v>1468051948.0519481</v>
      </c>
      <c r="G1425" s="93">
        <v>645226000</v>
      </c>
      <c r="H1425" s="117">
        <v>2.2799999999999998</v>
      </c>
      <c r="I1425" s="117">
        <v>15.29</v>
      </c>
    </row>
    <row r="1426" spans="1:9">
      <c r="A1426" s="116">
        <v>8436</v>
      </c>
      <c r="B1426" s="91">
        <v>1.07</v>
      </c>
      <c r="C1426" s="92">
        <v>0.92929292929292928</v>
      </c>
      <c r="D1426" s="94">
        <v>60747663.551401868</v>
      </c>
      <c r="E1426" s="91">
        <f>VLOOKUP(8436,收盤價!A:C,3,0)</f>
        <v>98</v>
      </c>
      <c r="F1426" s="93">
        <v>5953271028.0373831</v>
      </c>
      <c r="G1426" s="93">
        <v>1823457000</v>
      </c>
      <c r="H1426" s="117">
        <v>3.26</v>
      </c>
      <c r="I1426" s="117">
        <v>24.64</v>
      </c>
    </row>
    <row r="1427" spans="1:9">
      <c r="A1427" s="116">
        <v>8437</v>
      </c>
      <c r="B1427" s="91">
        <v>1.26</v>
      </c>
      <c r="C1427" s="92">
        <v>0.87912087912087911</v>
      </c>
      <c r="D1427" s="94">
        <v>30952380.952380951</v>
      </c>
      <c r="E1427" s="91">
        <f>VLOOKUP(8437,收盤價!A:C,3,0)</f>
        <v>131</v>
      </c>
      <c r="F1427" s="93">
        <v>4054761904.7619047</v>
      </c>
      <c r="G1427" s="93">
        <v>556080000</v>
      </c>
      <c r="H1427" s="117">
        <v>7.29</v>
      </c>
      <c r="I1427" s="117">
        <v>29.57</v>
      </c>
    </row>
    <row r="1428" spans="1:9">
      <c r="A1428" s="116">
        <v>8443</v>
      </c>
      <c r="B1428" s="91">
        <v>0.26</v>
      </c>
      <c r="C1428" s="92">
        <v>0.82857142857142863</v>
      </c>
      <c r="D1428" s="94">
        <v>65384615.384615384</v>
      </c>
      <c r="E1428" s="91">
        <f>VLOOKUP(8443,收盤價!A:C,3,0)</f>
        <v>23.85</v>
      </c>
      <c r="F1428" s="93">
        <v>1559423076.9230771</v>
      </c>
      <c r="G1428" s="93">
        <v>2245633000</v>
      </c>
      <c r="H1428" s="117">
        <v>0.69</v>
      </c>
      <c r="I1428" s="117">
        <v>27.68</v>
      </c>
    </row>
    <row r="1429" spans="1:9">
      <c r="A1429" s="116">
        <v>8446</v>
      </c>
      <c r="B1429" s="91">
        <v>1.05</v>
      </c>
      <c r="C1429" s="92">
        <v>0.87951807228915657</v>
      </c>
      <c r="D1429" s="94">
        <v>41904761.904761903</v>
      </c>
      <c r="E1429" s="91">
        <f>VLOOKUP(8446,收盤價!A:C,3,0)</f>
        <v>102.5</v>
      </c>
      <c r="F1429" s="93">
        <v>4295238095.2380953</v>
      </c>
      <c r="G1429" s="93">
        <v>966094000</v>
      </c>
      <c r="H1429" s="117">
        <v>4.45</v>
      </c>
      <c r="I1429" s="117">
        <v>27.75</v>
      </c>
    </row>
    <row r="1430" spans="1:9">
      <c r="A1430" s="116">
        <v>8450</v>
      </c>
      <c r="B1430" s="91">
        <v>0.82</v>
      </c>
      <c r="C1430" s="92">
        <v>0.94736842105263153</v>
      </c>
      <c r="D1430" s="94">
        <v>43902439.024390243</v>
      </c>
      <c r="E1430" s="91">
        <f>VLOOKUP(8450,收盤價!A:C,3,0)</f>
        <v>82.5</v>
      </c>
      <c r="F1430" s="93">
        <v>3621951219.5121951</v>
      </c>
      <c r="G1430" s="93">
        <v>634756000</v>
      </c>
      <c r="H1430" s="117">
        <v>5.71</v>
      </c>
      <c r="I1430" s="117">
        <v>26.55</v>
      </c>
    </row>
    <row r="1431" spans="1:9">
      <c r="A1431" s="116">
        <v>8454</v>
      </c>
      <c r="B1431" s="91">
        <v>1.89</v>
      </c>
      <c r="C1431" s="92">
        <v>0.86924493554327809</v>
      </c>
      <c r="D1431" s="94">
        <v>142328042.32804233</v>
      </c>
      <c r="E1431" s="91">
        <f>VLOOKUP(8454,收盤價!A:C,3,0)</f>
        <v>186</v>
      </c>
      <c r="F1431" s="93">
        <v>26473015873.015873</v>
      </c>
      <c r="G1431" s="93">
        <v>25131098000</v>
      </c>
      <c r="H1431" s="117">
        <v>1.05</v>
      </c>
      <c r="I1431" s="117">
        <v>28.3</v>
      </c>
    </row>
    <row r="1432" spans="1:9">
      <c r="A1432" s="116">
        <v>8463</v>
      </c>
      <c r="B1432" s="91">
        <v>0.69</v>
      </c>
      <c r="C1432" s="92">
        <v>1</v>
      </c>
      <c r="D1432" s="94">
        <v>134782608.69565219</v>
      </c>
      <c r="E1432" s="91">
        <f>VLOOKUP(8463,收盤價!A:C,3,0)</f>
        <v>27.1</v>
      </c>
      <c r="F1432" s="93">
        <v>3652608695.6521745</v>
      </c>
      <c r="G1432" s="93">
        <v>3776057000</v>
      </c>
      <c r="H1432" s="117">
        <v>0.97</v>
      </c>
      <c r="I1432" s="117">
        <v>9.82</v>
      </c>
    </row>
    <row r="1433" spans="1:9">
      <c r="A1433" s="116">
        <v>8905</v>
      </c>
      <c r="B1433" s="91">
        <v>-0.21</v>
      </c>
      <c r="C1433" s="92">
        <v>0.91891891891891897</v>
      </c>
      <c r="D1433" s="94">
        <v>104761904.76190476</v>
      </c>
      <c r="E1433" s="91">
        <f>VLOOKUP(8905,收盤價!A:C,3,0)</f>
        <v>14.95</v>
      </c>
      <c r="F1433" s="93">
        <v>1566190476.1904762</v>
      </c>
      <c r="G1433" s="93">
        <v>3456752000</v>
      </c>
      <c r="H1433" s="117">
        <v>0.45</v>
      </c>
      <c r="I1433" s="117">
        <v>0</v>
      </c>
    </row>
    <row r="1434" spans="1:9">
      <c r="A1434" s="116">
        <v>8906</v>
      </c>
      <c r="B1434" s="91">
        <v>-0.08</v>
      </c>
      <c r="C1434" s="92">
        <v>0.83333333333333337</v>
      </c>
      <c r="D1434" s="94">
        <v>50000000</v>
      </c>
      <c r="E1434" s="91">
        <f>VLOOKUP(8906,收盤價!A:C,3,0)</f>
        <v>8.18</v>
      </c>
      <c r="F1434" s="93">
        <v>409000000</v>
      </c>
      <c r="G1434" s="93">
        <v>195249000</v>
      </c>
      <c r="H1434" s="117">
        <v>2.09</v>
      </c>
      <c r="I1434" s="117">
        <v>0</v>
      </c>
    </row>
    <row r="1435" spans="1:9">
      <c r="A1435" s="116">
        <v>8908</v>
      </c>
      <c r="B1435" s="91">
        <v>0.45</v>
      </c>
      <c r="C1435" s="92">
        <v>1</v>
      </c>
      <c r="D1435" s="94">
        <v>135555555.55555555</v>
      </c>
      <c r="E1435" s="91">
        <f>VLOOKUP(8908,收盤價!A:C,3,0)</f>
        <v>36.9</v>
      </c>
      <c r="F1435" s="93">
        <v>5002000000</v>
      </c>
      <c r="G1435" s="93">
        <v>5506563000</v>
      </c>
      <c r="H1435" s="117">
        <v>0.91</v>
      </c>
      <c r="I1435" s="117">
        <v>20.5</v>
      </c>
    </row>
    <row r="1436" spans="1:9">
      <c r="A1436" s="116">
        <v>8913</v>
      </c>
      <c r="B1436" s="91">
        <v>0.1</v>
      </c>
      <c r="C1436" s="92">
        <v>1</v>
      </c>
      <c r="D1436" s="94">
        <v>50000000</v>
      </c>
      <c r="E1436" s="91">
        <f>VLOOKUP(8913,收盤價!A:C,3,0)</f>
        <v>15.4</v>
      </c>
      <c r="F1436" s="93">
        <v>770000000</v>
      </c>
      <c r="G1436" s="93">
        <v>68622000</v>
      </c>
      <c r="H1436" s="117">
        <v>11.22</v>
      </c>
      <c r="I1436" s="117">
        <v>38.5</v>
      </c>
    </row>
    <row r="1437" spans="1:9">
      <c r="A1437" s="116">
        <v>8916</v>
      </c>
      <c r="B1437" s="91">
        <v>1.24</v>
      </c>
      <c r="C1437" s="92">
        <v>0.68867924528301883</v>
      </c>
      <c r="D1437" s="94">
        <v>104838709.67741935</v>
      </c>
      <c r="E1437" s="91">
        <f>VLOOKUP(8916,收盤價!A:C,3,0)</f>
        <v>49.3</v>
      </c>
      <c r="F1437" s="93">
        <v>5168548387.0967741</v>
      </c>
      <c r="G1437" s="93">
        <v>8456362000</v>
      </c>
      <c r="H1437" s="117">
        <v>0.61</v>
      </c>
      <c r="I1437" s="117">
        <v>14.43</v>
      </c>
    </row>
    <row r="1438" spans="1:9">
      <c r="A1438" s="116">
        <v>8917</v>
      </c>
      <c r="B1438" s="91">
        <v>0.35</v>
      </c>
      <c r="C1438" s="92">
        <v>0.92682926829268297</v>
      </c>
      <c r="D1438" s="94">
        <v>122857142.85714287</v>
      </c>
      <c r="E1438" s="91">
        <f>VLOOKUP(8917,收盤價!A:C,3,0)</f>
        <v>0</v>
      </c>
      <c r="F1438" s="93">
        <v>0</v>
      </c>
      <c r="G1438" s="93">
        <v>1787396000</v>
      </c>
      <c r="H1438" s="117">
        <v>0</v>
      </c>
      <c r="I1438" s="117">
        <v>0</v>
      </c>
    </row>
    <row r="1439" spans="1:9">
      <c r="A1439" s="116">
        <v>8921</v>
      </c>
      <c r="B1439" s="91">
        <v>0.22</v>
      </c>
      <c r="C1439" s="92">
        <v>0.66666666666666663</v>
      </c>
      <c r="D1439" s="94">
        <v>45454545.454545453</v>
      </c>
      <c r="E1439" s="91">
        <f>VLOOKUP(8921,收盤價!A:C,3,0)</f>
        <v>0</v>
      </c>
      <c r="F1439" s="93">
        <v>0</v>
      </c>
      <c r="G1439" s="93">
        <v>729567000</v>
      </c>
      <c r="H1439" s="117">
        <v>0</v>
      </c>
      <c r="I1439" s="117">
        <v>0</v>
      </c>
    </row>
    <row r="1440" spans="1:9">
      <c r="A1440" s="116">
        <v>8923</v>
      </c>
      <c r="B1440" s="91">
        <v>0.09</v>
      </c>
      <c r="C1440" s="92">
        <v>0.45454545454545453</v>
      </c>
      <c r="D1440" s="94">
        <v>33333333.333333336</v>
      </c>
      <c r="E1440" s="91">
        <f>VLOOKUP(8923,收盤價!A:C,3,0)</f>
        <v>17.850000000000001</v>
      </c>
      <c r="F1440" s="93">
        <v>595000000.00000012</v>
      </c>
      <c r="G1440" s="93">
        <v>395490000</v>
      </c>
      <c r="H1440" s="117">
        <v>1.5</v>
      </c>
      <c r="I1440" s="117">
        <v>109.08</v>
      </c>
    </row>
    <row r="1441" spans="1:9">
      <c r="A1441" s="116">
        <v>8924</v>
      </c>
      <c r="B1441" s="91">
        <v>-0.91</v>
      </c>
      <c r="C1441" s="92">
        <v>1</v>
      </c>
      <c r="D1441" s="94">
        <v>120879120.87912087</v>
      </c>
      <c r="E1441" s="91">
        <f>VLOOKUP(8924,收盤價!A:C,3,0)</f>
        <v>21.4</v>
      </c>
      <c r="F1441" s="93">
        <v>2586813186.8131866</v>
      </c>
      <c r="G1441" s="93">
        <v>4437169000</v>
      </c>
      <c r="H1441" s="117">
        <v>0.57999999999999996</v>
      </c>
      <c r="I1441" s="117">
        <v>0</v>
      </c>
    </row>
    <row r="1442" spans="1:9">
      <c r="A1442" s="116">
        <v>1463</v>
      </c>
      <c r="B1442" s="91">
        <v>0.03</v>
      </c>
      <c r="C1442" s="92">
        <v>0.13793103448275862</v>
      </c>
      <c r="D1442" s="94">
        <v>200000000</v>
      </c>
      <c r="E1442" s="91">
        <f>VLOOKUP(1463,收盤價!A:C,3,0)</f>
        <v>16</v>
      </c>
      <c r="F1442" s="93">
        <v>3200000000</v>
      </c>
      <c r="G1442" s="93">
        <v>650230000</v>
      </c>
      <c r="H1442" s="117">
        <v>4.92</v>
      </c>
      <c r="I1442" s="117">
        <v>966.67</v>
      </c>
    </row>
    <row r="1443" spans="1:9">
      <c r="A1443" s="116">
        <v>1476</v>
      </c>
      <c r="B1443" s="91">
        <v>3.8</v>
      </c>
      <c r="C1443" s="92">
        <v>1</v>
      </c>
      <c r="D1443" s="94">
        <v>261052631.5789474</v>
      </c>
      <c r="E1443" s="91">
        <f>VLOOKUP(1476,收盤價!A:C,3,0)</f>
        <v>489.5</v>
      </c>
      <c r="F1443" s="93">
        <v>127785263157.89474</v>
      </c>
      <c r="G1443" s="93">
        <v>23809185000</v>
      </c>
      <c r="H1443" s="117">
        <v>5.37</v>
      </c>
      <c r="I1443" s="117">
        <v>32.200000000000003</v>
      </c>
    </row>
    <row r="1444" spans="1:9">
      <c r="A1444" s="116">
        <v>8927</v>
      </c>
      <c r="B1444" s="91">
        <v>0</v>
      </c>
      <c r="C1444" s="92">
        <v>0</v>
      </c>
      <c r="D1444" s="94">
        <v>0</v>
      </c>
      <c r="E1444" s="91">
        <f>VLOOKUP(8927,收盤價!A:C,3,0)</f>
        <v>9.9</v>
      </c>
      <c r="F1444" s="93">
        <v>0</v>
      </c>
      <c r="G1444" s="93">
        <v>3359568000</v>
      </c>
      <c r="H1444" s="117">
        <v>0</v>
      </c>
      <c r="I1444" s="117">
        <v>0</v>
      </c>
    </row>
    <row r="1445" spans="1:9">
      <c r="A1445" s="116">
        <v>8928</v>
      </c>
      <c r="B1445" s="91">
        <v>0.12</v>
      </c>
      <c r="C1445" s="92">
        <v>1</v>
      </c>
      <c r="D1445" s="94">
        <v>50000000</v>
      </c>
      <c r="E1445" s="91">
        <f>VLOOKUP(8928,收盤價!A:C,3,0)</f>
        <v>44.4</v>
      </c>
      <c r="F1445" s="93">
        <v>2220000000</v>
      </c>
      <c r="G1445" s="93">
        <v>2077615000</v>
      </c>
      <c r="H1445" s="117">
        <v>1.07</v>
      </c>
      <c r="I1445" s="117">
        <v>92.5</v>
      </c>
    </row>
    <row r="1446" spans="1:9">
      <c r="A1446" s="116">
        <v>8929</v>
      </c>
      <c r="B1446" s="91">
        <v>7.0000000000000007E-2</v>
      </c>
      <c r="C1446" s="92">
        <v>0.625</v>
      </c>
      <c r="D1446" s="94">
        <v>28571428.571428567</v>
      </c>
      <c r="E1446" s="91">
        <f>VLOOKUP(8929,收盤價!A:C,3,0)</f>
        <v>24</v>
      </c>
      <c r="F1446" s="93">
        <v>685714285.71428561</v>
      </c>
      <c r="G1446" s="93">
        <v>1316944000</v>
      </c>
      <c r="H1446" s="117">
        <v>0.52</v>
      </c>
      <c r="I1446" s="117">
        <v>137.13999999999999</v>
      </c>
    </row>
    <row r="1447" spans="1:9">
      <c r="A1447" s="116">
        <v>8930</v>
      </c>
      <c r="B1447" s="91">
        <v>-0.03</v>
      </c>
      <c r="C1447" s="92">
        <v>0.375</v>
      </c>
      <c r="D1447" s="94">
        <v>66666666.666666672</v>
      </c>
      <c r="E1447" s="91">
        <f>VLOOKUP(8930,收盤價!A:C,3,0)</f>
        <v>9.0500000000000007</v>
      </c>
      <c r="F1447" s="93">
        <v>603333333.33333337</v>
      </c>
      <c r="G1447" s="93">
        <v>1193716000</v>
      </c>
      <c r="H1447" s="117">
        <v>0.51</v>
      </c>
      <c r="I1447" s="117">
        <v>0</v>
      </c>
    </row>
    <row r="1448" spans="1:9">
      <c r="A1448" s="116">
        <v>8931</v>
      </c>
      <c r="B1448" s="91">
        <v>0.05</v>
      </c>
      <c r="C1448" s="92">
        <v>1</v>
      </c>
      <c r="D1448" s="94">
        <v>120000000</v>
      </c>
      <c r="E1448" s="91">
        <f>VLOOKUP(8931,收盤價!A:C,3,0)</f>
        <v>19.8</v>
      </c>
      <c r="F1448" s="93">
        <v>2376000000</v>
      </c>
      <c r="G1448" s="93">
        <v>1372947000</v>
      </c>
      <c r="H1448" s="117">
        <v>1.73</v>
      </c>
      <c r="I1448" s="117">
        <v>99</v>
      </c>
    </row>
    <row r="1449" spans="1:9">
      <c r="A1449" s="116">
        <v>8932</v>
      </c>
      <c r="B1449" s="91">
        <v>0.44</v>
      </c>
      <c r="C1449" s="92">
        <v>1</v>
      </c>
      <c r="D1449" s="94">
        <v>47727272.727272727</v>
      </c>
      <c r="E1449" s="91">
        <f>VLOOKUP(8932,收盤價!A:C,3,0)</f>
        <v>9.01</v>
      </c>
      <c r="F1449" s="93">
        <v>430022727.27272725</v>
      </c>
      <c r="G1449" s="93">
        <v>1170414000</v>
      </c>
      <c r="H1449" s="117">
        <v>0.37</v>
      </c>
      <c r="I1449" s="117">
        <v>5.12</v>
      </c>
    </row>
    <row r="1450" spans="1:9">
      <c r="A1450" s="116">
        <v>8933</v>
      </c>
      <c r="B1450" s="91">
        <v>0.22</v>
      </c>
      <c r="C1450" s="92">
        <v>1</v>
      </c>
      <c r="D1450" s="94">
        <v>150000000</v>
      </c>
      <c r="E1450" s="91">
        <f>VLOOKUP(8933,收盤價!A:C,3,0)</f>
        <v>17.7</v>
      </c>
      <c r="F1450" s="93">
        <v>2655000000</v>
      </c>
      <c r="G1450" s="93">
        <v>5620349000</v>
      </c>
      <c r="H1450" s="117">
        <v>0.47</v>
      </c>
      <c r="I1450" s="117">
        <v>20.11</v>
      </c>
    </row>
    <row r="1451" spans="1:9">
      <c r="A1451" s="116">
        <v>8934</v>
      </c>
      <c r="B1451" s="91">
        <v>-0.48</v>
      </c>
      <c r="C1451" s="92">
        <v>0</v>
      </c>
      <c r="D1451" s="94">
        <v>8333333.333333334</v>
      </c>
      <c r="E1451" s="91">
        <f>VLOOKUP(8934,收盤價!A:C,3,0)</f>
        <v>0</v>
      </c>
      <c r="F1451" s="93">
        <v>0</v>
      </c>
      <c r="G1451" s="93">
        <v>678677000</v>
      </c>
      <c r="H1451" s="117">
        <v>0</v>
      </c>
      <c r="I1451" s="117">
        <v>0</v>
      </c>
    </row>
    <row r="1452" spans="1:9">
      <c r="A1452" s="116">
        <v>8935</v>
      </c>
      <c r="B1452" s="91">
        <v>-0.25</v>
      </c>
      <c r="C1452" s="92">
        <v>1</v>
      </c>
      <c r="D1452" s="94">
        <v>120000000</v>
      </c>
      <c r="E1452" s="91">
        <f>VLOOKUP(8935,收盤價!A:C,3,0)</f>
        <v>6.35</v>
      </c>
      <c r="F1452" s="93">
        <v>762000000</v>
      </c>
      <c r="G1452" s="93">
        <v>788211000</v>
      </c>
      <c r="H1452" s="117">
        <v>0.97</v>
      </c>
      <c r="I1452" s="117">
        <v>0</v>
      </c>
    </row>
    <row r="1453" spans="1:9">
      <c r="A1453" s="116">
        <v>8936</v>
      </c>
      <c r="B1453" s="91">
        <v>0.77</v>
      </c>
      <c r="C1453" s="92">
        <v>1</v>
      </c>
      <c r="D1453" s="94">
        <v>185714285.7142857</v>
      </c>
      <c r="E1453" s="91">
        <f>VLOOKUP(8936,收盤價!A:C,3,0)</f>
        <v>37.1</v>
      </c>
      <c r="F1453" s="93">
        <v>6890000000</v>
      </c>
      <c r="G1453" s="93">
        <v>4720135000</v>
      </c>
      <c r="H1453" s="117">
        <v>1.46</v>
      </c>
      <c r="I1453" s="117">
        <v>12.05</v>
      </c>
    </row>
    <row r="1454" spans="1:9">
      <c r="A1454" s="116">
        <v>8937</v>
      </c>
      <c r="B1454" s="91">
        <v>-0.06</v>
      </c>
      <c r="C1454" s="92">
        <v>0</v>
      </c>
      <c r="D1454" s="94">
        <v>66666666.666666672</v>
      </c>
      <c r="E1454" s="91">
        <f>VLOOKUP(8937,收盤價!A:C,3,0)</f>
        <v>12.25</v>
      </c>
      <c r="F1454" s="93">
        <v>816666666.66666675</v>
      </c>
      <c r="G1454" s="93">
        <v>392813000</v>
      </c>
      <c r="H1454" s="117">
        <v>2.08</v>
      </c>
      <c r="I1454" s="117">
        <v>0</v>
      </c>
    </row>
    <row r="1455" spans="1:9">
      <c r="A1455" s="116">
        <v>8938</v>
      </c>
      <c r="B1455" s="91">
        <v>-1.39</v>
      </c>
      <c r="C1455" s="92">
        <v>0.69090909090909092</v>
      </c>
      <c r="D1455" s="94">
        <v>134532374.10071942</v>
      </c>
      <c r="E1455" s="91">
        <f>VLOOKUP(8938,收盤價!A:C,3,0)</f>
        <v>20.8</v>
      </c>
      <c r="F1455" s="93">
        <v>2798273381.2949643</v>
      </c>
      <c r="G1455" s="93">
        <v>8623285000</v>
      </c>
      <c r="H1455" s="117">
        <v>0.32</v>
      </c>
      <c r="I1455" s="117">
        <v>0</v>
      </c>
    </row>
    <row r="1456" spans="1:9">
      <c r="A1456" s="116">
        <v>8940</v>
      </c>
      <c r="B1456" s="91">
        <v>-0.21</v>
      </c>
      <c r="C1456" s="92">
        <v>0.90322580645161288</v>
      </c>
      <c r="D1456" s="94">
        <v>66666666.666666672</v>
      </c>
      <c r="E1456" s="91">
        <f>VLOOKUP(8940,收盤價!A:C,3,0)</f>
        <v>16.55</v>
      </c>
      <c r="F1456" s="93">
        <v>1103333333.3333335</v>
      </c>
      <c r="G1456" s="93">
        <v>1598776000</v>
      </c>
      <c r="H1456" s="117">
        <v>0.69</v>
      </c>
      <c r="I1456" s="117">
        <v>0</v>
      </c>
    </row>
    <row r="1457" spans="1:9">
      <c r="A1457" s="116">
        <v>8941</v>
      </c>
      <c r="B1457" s="91">
        <v>3.34</v>
      </c>
      <c r="C1457" s="92">
        <v>0.52380952380952384</v>
      </c>
      <c r="D1457" s="94">
        <v>17664670.658682637</v>
      </c>
      <c r="E1457" s="91">
        <f>VLOOKUP(8941,收盤價!A:C,3,0)</f>
        <v>94.8</v>
      </c>
      <c r="F1457" s="93">
        <v>1674610778.443114</v>
      </c>
      <c r="G1457" s="93">
        <v>2504716000</v>
      </c>
      <c r="H1457" s="117">
        <v>0.67</v>
      </c>
      <c r="I1457" s="117">
        <v>13.55</v>
      </c>
    </row>
    <row r="1458" spans="1:9">
      <c r="A1458" s="116">
        <v>8942</v>
      </c>
      <c r="B1458" s="91">
        <v>1.76</v>
      </c>
      <c r="C1458" s="92">
        <v>1</v>
      </c>
      <c r="D1458" s="94">
        <v>154545454.54545453</v>
      </c>
      <c r="E1458" s="91">
        <f>VLOOKUP(8942,收盤價!A:C,3,0)</f>
        <v>97.3</v>
      </c>
      <c r="F1458" s="93">
        <v>15037272727.272726</v>
      </c>
      <c r="G1458" s="93">
        <v>4656379000</v>
      </c>
      <c r="H1458" s="117">
        <v>3.23</v>
      </c>
      <c r="I1458" s="117">
        <v>13.82</v>
      </c>
    </row>
    <row r="1459" spans="1:9">
      <c r="A1459" s="116">
        <v>8996</v>
      </c>
      <c r="B1459" s="91">
        <v>0.17</v>
      </c>
      <c r="C1459" s="92">
        <v>1</v>
      </c>
      <c r="D1459" s="94">
        <v>88235294.117647052</v>
      </c>
      <c r="E1459" s="91">
        <f>VLOOKUP(8996,收盤價!A:C,3,0)</f>
        <v>41.8</v>
      </c>
      <c r="F1459" s="93">
        <v>3688235294.1176467</v>
      </c>
      <c r="G1459" s="93">
        <v>2136450000</v>
      </c>
      <c r="H1459" s="117">
        <v>1.73</v>
      </c>
      <c r="I1459" s="117">
        <v>61.47</v>
      </c>
    </row>
    <row r="1460" spans="1:9">
      <c r="A1460" s="116">
        <v>9802</v>
      </c>
      <c r="B1460" s="91">
        <v>-0.84</v>
      </c>
      <c r="C1460" s="92">
        <v>0.87878787878787878</v>
      </c>
      <c r="D1460" s="94">
        <v>129761904.76190476</v>
      </c>
      <c r="E1460" s="91">
        <f>VLOOKUP(9802,收盤價!A:C,3,0)</f>
        <v>51.9</v>
      </c>
      <c r="F1460" s="93">
        <v>6734642857.1428566</v>
      </c>
      <c r="G1460" s="93">
        <v>9288354000</v>
      </c>
      <c r="H1460" s="117">
        <v>0.73</v>
      </c>
      <c r="I1460" s="117">
        <v>0</v>
      </c>
    </row>
    <row r="1461" spans="1:9">
      <c r="A1461" s="116">
        <v>9902</v>
      </c>
      <c r="B1461" s="91">
        <v>0.02</v>
      </c>
      <c r="C1461" s="92">
        <v>1</v>
      </c>
      <c r="D1461" s="94">
        <v>100000000</v>
      </c>
      <c r="E1461" s="91">
        <f>VLOOKUP(9902,收盤價!A:C,3,0)</f>
        <v>11.75</v>
      </c>
      <c r="F1461" s="93">
        <v>1175000000</v>
      </c>
      <c r="G1461" s="93">
        <v>175793000</v>
      </c>
      <c r="H1461" s="117">
        <v>6.68</v>
      </c>
      <c r="I1461" s="117">
        <v>146.88</v>
      </c>
    </row>
    <row r="1462" spans="1:9">
      <c r="A1462" s="116">
        <v>9904</v>
      </c>
      <c r="B1462" s="91">
        <v>0.91</v>
      </c>
      <c r="C1462" s="92">
        <v>1.2554927809165096E-2</v>
      </c>
      <c r="D1462" s="94">
        <v>2948351648.3516483</v>
      </c>
      <c r="E1462" s="91">
        <f>VLOOKUP(9904,收盤價!A:C,3,0)</f>
        <v>48.15</v>
      </c>
      <c r="F1462" s="93">
        <v>141963131868.13187</v>
      </c>
      <c r="G1462" s="93">
        <v>260907771000</v>
      </c>
      <c r="H1462" s="117">
        <v>0.54</v>
      </c>
      <c r="I1462" s="117">
        <v>1053.6099999999999</v>
      </c>
    </row>
    <row r="1463" spans="1:9">
      <c r="A1463" s="116">
        <v>2390</v>
      </c>
      <c r="B1463" s="91">
        <v>0.06</v>
      </c>
      <c r="C1463" s="92">
        <v>0</v>
      </c>
      <c r="D1463" s="94">
        <v>200000000</v>
      </c>
      <c r="E1463" s="91">
        <f>VLOOKUP(2390,收盤價!A:C,3,0)</f>
        <v>23</v>
      </c>
      <c r="F1463" s="93">
        <v>4600000000</v>
      </c>
      <c r="G1463" s="93">
        <v>907132000</v>
      </c>
      <c r="H1463" s="117">
        <v>5.07</v>
      </c>
      <c r="I1463" s="117">
        <v>0</v>
      </c>
    </row>
    <row r="1464" spans="1:9">
      <c r="A1464" s="116">
        <v>9906</v>
      </c>
      <c r="B1464" s="91">
        <v>0.42</v>
      </c>
      <c r="C1464" s="92">
        <v>1</v>
      </c>
      <c r="D1464" s="94">
        <v>69047619.047619045</v>
      </c>
      <c r="E1464" s="91">
        <f>VLOOKUP(9906,收盤價!A:C,3,0)</f>
        <v>20.6</v>
      </c>
      <c r="F1464" s="93">
        <v>1422380952.3809524</v>
      </c>
      <c r="G1464" s="93">
        <v>590712000</v>
      </c>
      <c r="H1464" s="117">
        <v>2.41</v>
      </c>
      <c r="I1464" s="117">
        <v>12.26</v>
      </c>
    </row>
    <row r="1465" spans="1:9">
      <c r="A1465" s="116">
        <v>9907</v>
      </c>
      <c r="B1465" s="91">
        <v>0.17</v>
      </c>
      <c r="C1465" s="92">
        <v>0.86772486772486768</v>
      </c>
      <c r="D1465" s="94">
        <v>1552941176.4705882</v>
      </c>
      <c r="E1465" s="91">
        <f>VLOOKUP(9907,收盤價!A:C,3,0)</f>
        <v>16.2</v>
      </c>
      <c r="F1465" s="93">
        <v>25157647058.823528</v>
      </c>
      <c r="G1465" s="93">
        <v>37446480000</v>
      </c>
      <c r="H1465" s="117">
        <v>0.67</v>
      </c>
      <c r="I1465" s="117">
        <v>27.46</v>
      </c>
    </row>
    <row r="1466" spans="1:9">
      <c r="A1466" s="116">
        <v>1536</v>
      </c>
      <c r="B1466" s="91">
        <v>1.01</v>
      </c>
      <c r="C1466" s="92">
        <v>1</v>
      </c>
      <c r="D1466" s="94">
        <v>235643564.35643563</v>
      </c>
      <c r="E1466" s="91">
        <f>VLOOKUP(1536,收盤價!A:C,3,0)</f>
        <v>104.5</v>
      </c>
      <c r="F1466" s="93">
        <v>24624752475.247524</v>
      </c>
      <c r="G1466" s="93">
        <v>4962575000</v>
      </c>
      <c r="H1466" s="117">
        <v>4.96</v>
      </c>
      <c r="I1466" s="117">
        <v>25.87</v>
      </c>
    </row>
    <row r="1467" spans="1:9">
      <c r="A1467" s="116">
        <v>5530</v>
      </c>
      <c r="B1467" s="91">
        <v>0.63</v>
      </c>
      <c r="C1467" s="92">
        <v>0.98102466793168885</v>
      </c>
      <c r="D1467" s="94">
        <v>400000000</v>
      </c>
      <c r="E1467" s="91">
        <f>VLOOKUP(5530,收盤價!A:C,3,0)</f>
        <v>63.3</v>
      </c>
      <c r="F1467" s="93">
        <v>25320000000</v>
      </c>
      <c r="G1467" s="93">
        <v>4828891000</v>
      </c>
      <c r="H1467" s="117">
        <v>5.24</v>
      </c>
      <c r="I1467" s="117">
        <v>25.6</v>
      </c>
    </row>
    <row r="1468" spans="1:9">
      <c r="A1468" s="116">
        <v>1789</v>
      </c>
      <c r="B1468" s="91">
        <v>0.19</v>
      </c>
      <c r="C1468" s="92">
        <v>0.59183673469387754</v>
      </c>
      <c r="D1468" s="94">
        <v>694736842.10526311</v>
      </c>
      <c r="E1468" s="91">
        <f>VLOOKUP(1789,收盤價!A:C,3,0)</f>
        <v>37.6</v>
      </c>
      <c r="F1468" s="93">
        <v>26122105263.157894</v>
      </c>
      <c r="G1468" s="93">
        <v>3852801000</v>
      </c>
      <c r="H1468" s="117">
        <v>6.78</v>
      </c>
      <c r="I1468" s="117">
        <v>83.59</v>
      </c>
    </row>
    <row r="1469" spans="1:9">
      <c r="A1469" s="116">
        <v>9912</v>
      </c>
      <c r="B1469" s="91">
        <v>-0.26</v>
      </c>
      <c r="C1469" s="92">
        <v>0.89473684210526316</v>
      </c>
      <c r="D1469" s="94">
        <v>50000000</v>
      </c>
      <c r="E1469" s="91">
        <f>VLOOKUP(9912,收盤價!A:C,3,0)</f>
        <v>9.0399999999999991</v>
      </c>
      <c r="F1469" s="93">
        <v>451999999.99999994</v>
      </c>
      <c r="G1469" s="93">
        <v>657391000</v>
      </c>
      <c r="H1469" s="117">
        <v>0.69</v>
      </c>
      <c r="I1469" s="117">
        <v>0</v>
      </c>
    </row>
    <row r="1470" spans="1:9">
      <c r="A1470" s="116">
        <v>4123</v>
      </c>
      <c r="B1470" s="91">
        <v>-0.51</v>
      </c>
      <c r="C1470" s="92">
        <v>2.2099447513812154E-2</v>
      </c>
      <c r="D1470" s="94">
        <v>207843137.25490195</v>
      </c>
      <c r="E1470" s="91">
        <f>VLOOKUP(4123,收盤價!A:C,3,0)</f>
        <v>68.2</v>
      </c>
      <c r="F1470" s="93">
        <v>14174901960.784313</v>
      </c>
      <c r="G1470" s="93">
        <v>1991093000</v>
      </c>
      <c r="H1470" s="117">
        <v>7.12</v>
      </c>
      <c r="I1470" s="117">
        <v>0</v>
      </c>
    </row>
    <row r="1471" spans="1:9">
      <c r="A1471" s="116">
        <v>4128</v>
      </c>
      <c r="B1471" s="91">
        <v>-0.17</v>
      </c>
      <c r="C1471" s="92">
        <v>0.98</v>
      </c>
      <c r="D1471" s="94">
        <v>435294117.64705878</v>
      </c>
      <c r="E1471" s="91">
        <f>VLOOKUP(4128,收盤價!A:C,3,0)</f>
        <v>26.9</v>
      </c>
      <c r="F1471" s="93">
        <v>11709411764.705881</v>
      </c>
      <c r="G1471" s="93">
        <v>1516612000</v>
      </c>
      <c r="H1471" s="117">
        <v>7.72</v>
      </c>
      <c r="I1471" s="117">
        <v>0</v>
      </c>
    </row>
    <row r="1472" spans="1:9">
      <c r="A1472" s="116">
        <v>9918</v>
      </c>
      <c r="B1472" s="91">
        <v>0.49</v>
      </c>
      <c r="C1472" s="92">
        <v>0.75520833333333337</v>
      </c>
      <c r="D1472" s="94">
        <v>177551020.40816328</v>
      </c>
      <c r="E1472" s="91">
        <f>VLOOKUP(9918,收盤價!A:C,3,0)</f>
        <v>31</v>
      </c>
      <c r="F1472" s="93">
        <v>5504081632.6530619</v>
      </c>
      <c r="G1472" s="93">
        <v>2357829000</v>
      </c>
      <c r="H1472" s="117">
        <v>2.33</v>
      </c>
      <c r="I1472" s="117">
        <v>20.94</v>
      </c>
    </row>
    <row r="1473" spans="1:9">
      <c r="A1473" s="116">
        <v>4105</v>
      </c>
      <c r="B1473" s="91">
        <v>0.73</v>
      </c>
      <c r="C1473" s="92">
        <v>0.76512455516014233</v>
      </c>
      <c r="D1473" s="94">
        <v>250684931.50684932</v>
      </c>
      <c r="E1473" s="91">
        <f>VLOOKUP(4105,收盤價!A:C,3,0)</f>
        <v>91.6</v>
      </c>
      <c r="F1473" s="93">
        <v>22962739726.027397</v>
      </c>
      <c r="G1473" s="93">
        <v>3042957000</v>
      </c>
      <c r="H1473" s="117">
        <v>7.55</v>
      </c>
      <c r="I1473" s="117">
        <v>41</v>
      </c>
    </row>
    <row r="1474" spans="1:9">
      <c r="A1474" s="116">
        <v>8076</v>
      </c>
      <c r="B1474" s="91">
        <v>0.19</v>
      </c>
      <c r="C1474" s="92">
        <v>0.67500000000000004</v>
      </c>
      <c r="D1474" s="94">
        <v>221052631.57894737</v>
      </c>
      <c r="E1474" s="91">
        <f>VLOOKUP(8076,收盤價!A:C,3,0)</f>
        <v>104</v>
      </c>
      <c r="F1474" s="93">
        <v>22989473684.210526</v>
      </c>
      <c r="G1474" s="93">
        <v>2761156000</v>
      </c>
      <c r="H1474" s="117">
        <v>8.33</v>
      </c>
      <c r="I1474" s="117">
        <v>202.73</v>
      </c>
    </row>
    <row r="1475" spans="1:9">
      <c r="A1475" s="116">
        <v>9924</v>
      </c>
      <c r="B1475" s="91">
        <v>0.93</v>
      </c>
      <c r="C1475" s="92">
        <v>0.76315789473684215</v>
      </c>
      <c r="D1475" s="94">
        <v>189247311.82795697</v>
      </c>
      <c r="E1475" s="91">
        <f>VLOOKUP(9924,收盤價!A:C,3,0)</f>
        <v>49.2</v>
      </c>
      <c r="F1475" s="93">
        <v>9310967741.9354839</v>
      </c>
      <c r="G1475" s="93">
        <v>7825487000</v>
      </c>
      <c r="H1475" s="117">
        <v>1.19</v>
      </c>
      <c r="I1475" s="117">
        <v>17.329999999999998</v>
      </c>
    </row>
    <row r="1476" spans="1:9">
      <c r="A1476" s="116">
        <v>2913</v>
      </c>
      <c r="B1476" s="91">
        <v>0.27</v>
      </c>
      <c r="C1476" s="92">
        <v>0.13875598086124402</v>
      </c>
      <c r="D1476" s="94">
        <v>737037037.03703701</v>
      </c>
      <c r="E1476" s="91">
        <f>VLOOKUP(2913,收盤價!A:C,3,0)</f>
        <v>14.95</v>
      </c>
      <c r="F1476" s="93">
        <v>11018703703.703703</v>
      </c>
      <c r="G1476" s="93">
        <v>1276942000</v>
      </c>
      <c r="H1476" s="117">
        <v>8.6300000000000008</v>
      </c>
      <c r="I1476" s="117">
        <v>99.76</v>
      </c>
    </row>
    <row r="1477" spans="1:9">
      <c r="A1477" s="116">
        <v>9926</v>
      </c>
      <c r="B1477" s="91">
        <v>0.48</v>
      </c>
      <c r="C1477" s="92">
        <v>0.86144578313253017</v>
      </c>
      <c r="D1477" s="94">
        <v>166666666.66666669</v>
      </c>
      <c r="E1477" s="91">
        <f>VLOOKUP(9926,收盤價!A:C,3,0)</f>
        <v>40</v>
      </c>
      <c r="F1477" s="93">
        <v>6666666666.6666679</v>
      </c>
      <c r="G1477" s="93">
        <v>2442356000</v>
      </c>
      <c r="H1477" s="117">
        <v>2.73</v>
      </c>
      <c r="I1477" s="117">
        <v>24.18</v>
      </c>
    </row>
    <row r="1478" spans="1:9">
      <c r="A1478" s="116">
        <v>8926</v>
      </c>
      <c r="B1478" s="91">
        <v>0.56000000000000005</v>
      </c>
      <c r="C1478" s="92">
        <v>0</v>
      </c>
      <c r="D1478" s="94">
        <v>589285714.28571427</v>
      </c>
      <c r="E1478" s="91">
        <f>VLOOKUP(8926,收盤價!A:C,3,0)</f>
        <v>22.65</v>
      </c>
      <c r="F1478" s="93">
        <v>13347321428.571428</v>
      </c>
      <c r="G1478" s="93">
        <v>1448843000</v>
      </c>
      <c r="H1478" s="117">
        <v>9.2100000000000009</v>
      </c>
      <c r="I1478" s="117">
        <v>0</v>
      </c>
    </row>
    <row r="1479" spans="1:9">
      <c r="A1479" s="116">
        <v>9928</v>
      </c>
      <c r="B1479" s="91">
        <v>-0.65</v>
      </c>
      <c r="C1479" s="92">
        <v>1</v>
      </c>
      <c r="D1479" s="94">
        <v>132307692.3076923</v>
      </c>
      <c r="E1479" s="91">
        <f>VLOOKUP(9928,收盤價!A:C,3,0)</f>
        <v>12.2</v>
      </c>
      <c r="F1479" s="93">
        <v>1614153846.153846</v>
      </c>
      <c r="G1479" s="93">
        <v>945967000</v>
      </c>
      <c r="H1479" s="117">
        <v>1.71</v>
      </c>
      <c r="I1479" s="117">
        <v>0</v>
      </c>
    </row>
    <row r="1480" spans="1:9">
      <c r="A1480" s="116">
        <v>9929</v>
      </c>
      <c r="B1480" s="91">
        <v>-0.33</v>
      </c>
      <c r="C1480" s="92">
        <v>1</v>
      </c>
      <c r="D1480" s="94">
        <v>109090909.09090908</v>
      </c>
      <c r="E1480" s="91">
        <f>VLOOKUP(9929,收盤價!A:C,3,0)</f>
        <v>12.8</v>
      </c>
      <c r="F1480" s="93">
        <v>1396363636.3636363</v>
      </c>
      <c r="G1480" s="93">
        <v>1130511000</v>
      </c>
      <c r="H1480" s="117">
        <v>1.24</v>
      </c>
      <c r="I1480" s="117">
        <v>0</v>
      </c>
    </row>
    <row r="1481" spans="1:9">
      <c r="A1481" s="116">
        <v>1419</v>
      </c>
      <c r="B1481" s="91">
        <v>-0.05</v>
      </c>
      <c r="C1481" s="92">
        <v>0.95348837209302328</v>
      </c>
      <c r="D1481" s="94">
        <v>360000000</v>
      </c>
      <c r="E1481" s="91">
        <f>VLOOKUP(1419,收盤價!A:C,3,0)</f>
        <v>38.799999999999997</v>
      </c>
      <c r="F1481" s="93">
        <v>13967999999.999998</v>
      </c>
      <c r="G1481" s="93">
        <v>1151303000</v>
      </c>
      <c r="H1481" s="117">
        <v>12.13</v>
      </c>
      <c r="I1481" s="117">
        <v>0</v>
      </c>
    </row>
    <row r="1482" spans="1:9">
      <c r="A1482" s="116">
        <v>9931</v>
      </c>
      <c r="B1482" s="91">
        <v>0.69</v>
      </c>
      <c r="C1482" s="92">
        <v>0.72972972972972971</v>
      </c>
      <c r="D1482" s="94">
        <v>102898550.72463769</v>
      </c>
      <c r="E1482" s="91">
        <f>VLOOKUP(9931,收盤價!A:C,3,0)</f>
        <v>31.4</v>
      </c>
      <c r="F1482" s="93">
        <v>3231014492.753623</v>
      </c>
      <c r="G1482" s="93">
        <v>1397401000</v>
      </c>
      <c r="H1482" s="117">
        <v>2.31</v>
      </c>
      <c r="I1482" s="117">
        <v>15.59</v>
      </c>
    </row>
    <row r="1483" spans="1:9">
      <c r="A1483" s="116">
        <v>2701</v>
      </c>
      <c r="B1483" s="91">
        <v>0.28000000000000003</v>
      </c>
      <c r="C1483" s="92">
        <v>0.28402366863905326</v>
      </c>
      <c r="D1483" s="94">
        <v>371428571.4285714</v>
      </c>
      <c r="E1483" s="91">
        <f>VLOOKUP(2701,收盤價!A:C,3,0)</f>
        <v>14.25</v>
      </c>
      <c r="F1483" s="93">
        <v>5292857142.8571424</v>
      </c>
      <c r="G1483" s="93">
        <v>395772000</v>
      </c>
      <c r="H1483" s="117">
        <v>13.37</v>
      </c>
      <c r="I1483" s="117">
        <v>44.8</v>
      </c>
    </row>
    <row r="1484" spans="1:9">
      <c r="A1484" s="116">
        <v>1903</v>
      </c>
      <c r="B1484" s="91">
        <v>-0.26</v>
      </c>
      <c r="C1484" s="92">
        <v>1</v>
      </c>
      <c r="D1484" s="94">
        <v>257692307.69230768</v>
      </c>
      <c r="E1484" s="91">
        <f>VLOOKUP(1903,收盤價!A:C,3,0)</f>
        <v>30.65</v>
      </c>
      <c r="F1484" s="93">
        <v>7898269230.7692299</v>
      </c>
      <c r="G1484" s="93">
        <v>580458000</v>
      </c>
      <c r="H1484" s="117">
        <v>13.61</v>
      </c>
      <c r="I1484" s="117">
        <v>0</v>
      </c>
    </row>
    <row r="1485" spans="1:9">
      <c r="A1485" s="116">
        <v>9935</v>
      </c>
      <c r="B1485" s="91">
        <v>0.22</v>
      </c>
      <c r="C1485" s="92">
        <v>0.58181818181818179</v>
      </c>
      <c r="D1485" s="94">
        <v>140909090.90909091</v>
      </c>
      <c r="E1485" s="91">
        <f>VLOOKUP(9935,收盤價!A:C,3,0)</f>
        <v>10.7</v>
      </c>
      <c r="F1485" s="93">
        <v>1507727272.7272725</v>
      </c>
      <c r="G1485" s="93">
        <v>3166708000</v>
      </c>
      <c r="H1485" s="117">
        <v>0.48</v>
      </c>
      <c r="I1485" s="117">
        <v>20.9</v>
      </c>
    </row>
    <row r="1486" spans="1:9">
      <c r="A1486" s="116">
        <v>2363</v>
      </c>
      <c r="B1486" s="91">
        <v>-0.12</v>
      </c>
      <c r="C1486" s="92">
        <v>0.96875</v>
      </c>
      <c r="D1486" s="94">
        <v>608333333.33333337</v>
      </c>
      <c r="E1486" s="91">
        <f>VLOOKUP(2363,收盤價!A:C,3,0)</f>
        <v>6.6</v>
      </c>
      <c r="F1486" s="93">
        <v>4015000000</v>
      </c>
      <c r="G1486" s="93">
        <v>253415000</v>
      </c>
      <c r="H1486" s="117">
        <v>15.84</v>
      </c>
      <c r="I1486" s="117">
        <v>0</v>
      </c>
    </row>
    <row r="1487" spans="1:9">
      <c r="A1487" s="116">
        <v>1529</v>
      </c>
      <c r="B1487" s="91">
        <v>-0.09</v>
      </c>
      <c r="C1487" s="92">
        <v>0.29411764705882354</v>
      </c>
      <c r="D1487" s="94">
        <v>300000000</v>
      </c>
      <c r="E1487" s="91">
        <f>VLOOKUP(1529,收盤價!A:C,3,0)</f>
        <v>5.3</v>
      </c>
      <c r="F1487" s="93">
        <v>1590000000</v>
      </c>
      <c r="G1487" s="93">
        <v>81814000</v>
      </c>
      <c r="H1487" s="117">
        <v>19.43</v>
      </c>
      <c r="I1487" s="117">
        <v>0</v>
      </c>
    </row>
    <row r="1488" spans="1:9">
      <c r="A1488" s="116">
        <v>4142</v>
      </c>
      <c r="B1488" s="91">
        <v>-0.39</v>
      </c>
      <c r="C1488" s="92">
        <v>1</v>
      </c>
      <c r="D1488" s="94">
        <v>238461538.46153846</v>
      </c>
      <c r="E1488" s="91">
        <f>VLOOKUP(4142,收盤價!A:C,3,0)</f>
        <v>24.1</v>
      </c>
      <c r="F1488" s="93">
        <v>5746923076.9230776</v>
      </c>
      <c r="G1488" s="93">
        <v>283810000</v>
      </c>
      <c r="H1488" s="117">
        <v>20.25</v>
      </c>
      <c r="I1488" s="117">
        <v>0</v>
      </c>
    </row>
    <row r="1489" spans="1:9">
      <c r="A1489" s="116">
        <v>2706</v>
      </c>
      <c r="B1489" s="91">
        <v>0.37</v>
      </c>
      <c r="C1489" s="92">
        <v>0.2839506172839506</v>
      </c>
      <c r="D1489" s="94">
        <v>394594594.5945946</v>
      </c>
      <c r="E1489" s="91">
        <f>VLOOKUP(2706,收盤價!A:C,3,0)</f>
        <v>19.399999999999999</v>
      </c>
      <c r="F1489" s="93">
        <v>7655135135.1351347</v>
      </c>
      <c r="G1489" s="93">
        <v>370498000</v>
      </c>
      <c r="H1489" s="117">
        <v>20.66</v>
      </c>
      <c r="I1489" s="117">
        <v>46.16</v>
      </c>
    </row>
    <row r="1490" spans="1:9">
      <c r="A1490" s="116">
        <v>4157</v>
      </c>
      <c r="B1490" s="91">
        <v>-0.15</v>
      </c>
      <c r="C1490" s="92">
        <v>1</v>
      </c>
      <c r="D1490" s="94">
        <v>720000000</v>
      </c>
      <c r="E1490" s="91">
        <f>VLOOKUP(4157,收盤價!A:C,3,0)</f>
        <v>27.85</v>
      </c>
      <c r="F1490" s="93">
        <v>20052000000</v>
      </c>
      <c r="G1490" s="93">
        <v>78504000</v>
      </c>
      <c r="H1490" s="117">
        <v>255.43</v>
      </c>
      <c r="I1490" s="117">
        <v>0</v>
      </c>
    </row>
    <row r="1491" spans="1:9">
      <c r="A1491" s="116">
        <v>9942</v>
      </c>
      <c r="B1491" s="91">
        <v>1.23</v>
      </c>
      <c r="C1491" s="92">
        <v>1</v>
      </c>
      <c r="D1491" s="94">
        <v>83739837.398373991</v>
      </c>
      <c r="E1491" s="91">
        <f>VLOOKUP(9942,收盤價!A:C,3,0)</f>
        <v>75.599999999999994</v>
      </c>
      <c r="F1491" s="93">
        <v>6330731707.3170729</v>
      </c>
      <c r="G1491" s="93">
        <v>2836435000</v>
      </c>
      <c r="H1491" s="117">
        <v>2.23</v>
      </c>
      <c r="I1491" s="117">
        <v>15.37</v>
      </c>
    </row>
    <row r="1492" spans="1:9">
      <c r="A1492" s="116">
        <v>9943</v>
      </c>
      <c r="B1492" s="91">
        <v>1.86</v>
      </c>
      <c r="C1492" s="92">
        <v>0.48738170347003157</v>
      </c>
      <c r="D1492" s="94">
        <v>147311827.95698923</v>
      </c>
      <c r="E1492" s="91">
        <f>VLOOKUP(9943,收盤價!A:C,3,0)</f>
        <v>54.7</v>
      </c>
      <c r="F1492" s="93">
        <v>8057956989.2473116</v>
      </c>
      <c r="G1492" s="93">
        <v>3182308000</v>
      </c>
      <c r="H1492" s="117">
        <v>2.5299999999999998</v>
      </c>
      <c r="I1492" s="117">
        <v>15.08</v>
      </c>
    </row>
    <row r="1493" spans="1:9">
      <c r="A1493" s="116">
        <v>9944</v>
      </c>
      <c r="B1493" s="91">
        <v>0.37</v>
      </c>
      <c r="C1493" s="92">
        <v>1</v>
      </c>
      <c r="D1493" s="94">
        <v>105405405.4054054</v>
      </c>
      <c r="E1493" s="91">
        <f>VLOOKUP(9944,收盤價!A:C,3,0)</f>
        <v>31.3</v>
      </c>
      <c r="F1493" s="93">
        <v>3299189189.189189</v>
      </c>
      <c r="G1493" s="93">
        <v>4084221000</v>
      </c>
      <c r="H1493" s="117">
        <v>0.81</v>
      </c>
      <c r="I1493" s="117">
        <v>21.15</v>
      </c>
    </row>
    <row r="1494" spans="1:9">
      <c r="A1494" s="116">
        <v>9945</v>
      </c>
      <c r="B1494" s="91">
        <v>1.34</v>
      </c>
      <c r="C1494" s="92">
        <v>0</v>
      </c>
      <c r="D1494" s="94">
        <v>1153731343.283582</v>
      </c>
      <c r="E1494" s="91">
        <f>VLOOKUP(9945,收盤價!A:C,3,0)</f>
        <v>39.65</v>
      </c>
      <c r="F1494" s="93">
        <v>45745447761.194023</v>
      </c>
      <c r="G1494" s="93">
        <v>9782999000</v>
      </c>
      <c r="H1494" s="117">
        <v>4.68</v>
      </c>
      <c r="I1494" s="117">
        <v>0</v>
      </c>
    </row>
    <row r="1495" spans="1:9">
      <c r="A1495" s="116">
        <v>2530</v>
      </c>
      <c r="B1495" s="91">
        <v>-0.06</v>
      </c>
      <c r="C1495" s="92">
        <v>0.8666666666666667</v>
      </c>
      <c r="D1495" s="94">
        <v>283333333.33333337</v>
      </c>
      <c r="E1495" s="91">
        <f>VLOOKUP(2530,收盤價!A:C,3,0)</f>
        <v>16.75</v>
      </c>
      <c r="F1495" s="93">
        <v>4745833333.333334</v>
      </c>
      <c r="G1495" s="93">
        <v>7993000</v>
      </c>
      <c r="H1495" s="117">
        <v>593.75</v>
      </c>
      <c r="I1495" s="117">
        <v>0</v>
      </c>
    </row>
    <row r="1496" spans="1:9">
      <c r="A1496" s="116">
        <v>9949</v>
      </c>
      <c r="B1496" s="91">
        <v>-0.38</v>
      </c>
      <c r="C1496" s="92">
        <v>1</v>
      </c>
      <c r="D1496" s="94">
        <v>47368421.052631579</v>
      </c>
      <c r="E1496" s="91">
        <f>VLOOKUP(9949,收盤價!A:C,3,0)</f>
        <v>14.65</v>
      </c>
      <c r="F1496" s="93">
        <v>693947368.42105269</v>
      </c>
      <c r="G1496" s="93">
        <v>435070000</v>
      </c>
      <c r="H1496" s="117">
        <v>1.6</v>
      </c>
      <c r="I1496" s="117">
        <v>0</v>
      </c>
    </row>
    <row r="1497" spans="1:9">
      <c r="A1497" s="116">
        <v>9950</v>
      </c>
      <c r="B1497" s="91">
        <v>0.17</v>
      </c>
      <c r="C1497" s="92">
        <v>0.80769230769230771</v>
      </c>
      <c r="D1497" s="94">
        <v>64705882.35294117</v>
      </c>
      <c r="E1497" s="91">
        <f>VLOOKUP(9950,收盤價!A:C,3,0)</f>
        <v>21</v>
      </c>
      <c r="F1497" s="93">
        <v>1358823529.4117646</v>
      </c>
      <c r="G1497" s="93">
        <v>3342873000</v>
      </c>
      <c r="H1497" s="117">
        <v>0.41</v>
      </c>
      <c r="I1497" s="117">
        <v>38.24</v>
      </c>
    </row>
    <row r="1498" spans="1:9">
      <c r="A1498" s="116">
        <v>9951</v>
      </c>
      <c r="B1498" s="91">
        <v>2.3199999999999998</v>
      </c>
      <c r="C1498" s="92">
        <v>1</v>
      </c>
      <c r="D1498" s="94">
        <v>75000000</v>
      </c>
      <c r="E1498" s="91">
        <f>VLOOKUP(9951,收盤價!A:C,3,0)</f>
        <v>167</v>
      </c>
      <c r="F1498" s="93">
        <v>12525000000</v>
      </c>
      <c r="G1498" s="93">
        <v>3443601000</v>
      </c>
      <c r="H1498" s="117">
        <v>3.64</v>
      </c>
      <c r="I1498" s="117">
        <v>18</v>
      </c>
    </row>
    <row r="1499" spans="1:9">
      <c r="A1499" s="116">
        <v>9955</v>
      </c>
      <c r="B1499" s="91">
        <v>-0.35</v>
      </c>
      <c r="C1499" s="92">
        <v>0.55555555555555558</v>
      </c>
      <c r="D1499" s="94">
        <v>102857142.85714287</v>
      </c>
      <c r="E1499" s="91">
        <f>VLOOKUP(9955,收盤價!A:C,3,0)</f>
        <v>13.3</v>
      </c>
      <c r="F1499" s="93">
        <v>1368000000.0000002</v>
      </c>
      <c r="G1499" s="93">
        <v>2730134000</v>
      </c>
      <c r="H1499" s="117">
        <v>0.5</v>
      </c>
      <c r="I1499" s="117">
        <v>0</v>
      </c>
    </row>
    <row r="1500" spans="1:9">
      <c r="A1500" s="116">
        <v>9958</v>
      </c>
      <c r="B1500" s="91">
        <v>0.04</v>
      </c>
      <c r="C1500" s="92">
        <v>1</v>
      </c>
      <c r="D1500" s="94">
        <v>200000000</v>
      </c>
      <c r="E1500" s="91">
        <f>VLOOKUP(9958,收盤價!A:C,3,0)</f>
        <v>9.9</v>
      </c>
      <c r="F1500" s="93">
        <v>1980000000</v>
      </c>
      <c r="G1500" s="93">
        <v>2779026000</v>
      </c>
      <c r="H1500" s="117">
        <v>0.71</v>
      </c>
      <c r="I1500" s="117">
        <v>61.88</v>
      </c>
    </row>
    <row r="1501" spans="1:9">
      <c r="A1501" s="116">
        <v>9960</v>
      </c>
      <c r="B1501" s="91">
        <v>0.2</v>
      </c>
      <c r="C1501" s="92">
        <v>0.1</v>
      </c>
      <c r="D1501" s="94">
        <v>35000000</v>
      </c>
      <c r="E1501" s="91">
        <f>VLOOKUP(9960,收盤價!A:C,3,0)</f>
        <v>19.25</v>
      </c>
      <c r="F1501" s="93">
        <v>673750000</v>
      </c>
      <c r="G1501" s="93">
        <v>557703000</v>
      </c>
      <c r="H1501" s="117">
        <v>1.21</v>
      </c>
      <c r="I1501" s="117">
        <v>240.62</v>
      </c>
    </row>
    <row r="1502" spans="1:9">
      <c r="A1502" s="116">
        <v>9962</v>
      </c>
      <c r="B1502" s="91">
        <v>0.02</v>
      </c>
      <c r="C1502" s="92">
        <v>0.94117647058823528</v>
      </c>
      <c r="D1502" s="94">
        <v>100000000</v>
      </c>
      <c r="E1502" s="91">
        <f>VLOOKUP(9962,收盤價!A:C,3,0)</f>
        <v>8.7899999999999991</v>
      </c>
      <c r="F1502" s="93">
        <v>878999999.99999988</v>
      </c>
      <c r="G1502" s="93">
        <v>2406949000</v>
      </c>
      <c r="H1502" s="117">
        <v>0.37</v>
      </c>
      <c r="I1502" s="117">
        <v>116.74</v>
      </c>
    </row>
  </sheetData>
  <sortState ref="A4:I1495">
    <sortCondition ref="H1:H1499"/>
  </sortState>
  <phoneticPr fontId="23"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3075" r:id="rId4" name="CommandButton3">
          <controlPr defaultSize="0" autoLine="0" autoPict="0" r:id="rId5">
            <anchor moveWithCells="1">
              <from>
                <xdr:col>2</xdr:col>
                <xdr:colOff>19050</xdr:colOff>
                <xdr:row>0</xdr:row>
                <xdr:rowOff>38100</xdr:rowOff>
              </from>
              <to>
                <xdr:col>2</xdr:col>
                <xdr:colOff>1276350</xdr:colOff>
                <xdr:row>0</xdr:row>
                <xdr:rowOff>466725</xdr:rowOff>
              </to>
            </anchor>
          </controlPr>
        </control>
      </mc:Choice>
      <mc:Fallback>
        <control shapeId="3075" r:id="rId4" name="CommandButton3"/>
      </mc:Fallback>
    </mc:AlternateContent>
    <mc:AlternateContent xmlns:mc="http://schemas.openxmlformats.org/markup-compatibility/2006">
      <mc:Choice Requires="x14">
        <control shapeId="3077" r:id="rId6" name="CommandButton4">
          <controlPr defaultSize="0" autoLine="0" autoPict="0" r:id="rId7">
            <anchor moveWithCells="1">
              <from>
                <xdr:col>5</xdr:col>
                <xdr:colOff>38100</xdr:colOff>
                <xdr:row>0</xdr:row>
                <xdr:rowOff>38100</xdr:rowOff>
              </from>
              <to>
                <xdr:col>5</xdr:col>
                <xdr:colOff>1276350</xdr:colOff>
                <xdr:row>0</xdr:row>
                <xdr:rowOff>466725</xdr:rowOff>
              </to>
            </anchor>
          </controlPr>
        </control>
      </mc:Choice>
      <mc:Fallback>
        <control shapeId="3077" r:id="rId6" name="CommandButton4"/>
      </mc:Fallback>
    </mc:AlternateContent>
    <mc:AlternateContent xmlns:mc="http://schemas.openxmlformats.org/markup-compatibility/2006">
      <mc:Choice Requires="x14">
        <control shapeId="3079" r:id="rId8" name="CommandButton5">
          <controlPr defaultSize="0" autoLine="0" r:id="rId9">
            <anchor moveWithCells="1">
              <from>
                <xdr:col>6</xdr:col>
                <xdr:colOff>28575</xdr:colOff>
                <xdr:row>0</xdr:row>
                <xdr:rowOff>28575</xdr:rowOff>
              </from>
              <to>
                <xdr:col>6</xdr:col>
                <xdr:colOff>1285875</xdr:colOff>
                <xdr:row>0</xdr:row>
                <xdr:rowOff>457200</xdr:rowOff>
              </to>
            </anchor>
          </controlPr>
        </control>
      </mc:Choice>
      <mc:Fallback>
        <control shapeId="3079" r:id="rId8" name="CommandButton5"/>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F1584"/>
  <sheetViews>
    <sheetView workbookViewId="0">
      <pane xSplit="1" ySplit="1" topLeftCell="B2" activePane="bottomRight" state="frozen"/>
      <selection pane="topRight" activeCell="H1" sqref="H1"/>
      <selection pane="bottomLeft" activeCell="A2" sqref="A2"/>
      <selection pane="bottomRight" activeCell="F324" sqref="A1:F324"/>
    </sheetView>
  </sheetViews>
  <sheetFormatPr defaultRowHeight="16.5"/>
  <cols>
    <col min="3" max="3" width="9.5" bestFit="1" customWidth="1"/>
    <col min="4" max="4" width="10.5" bestFit="1" customWidth="1"/>
    <col min="5" max="5" width="9.25" bestFit="1" customWidth="1"/>
  </cols>
  <sheetData>
    <row r="1" spans="1:6">
      <c r="A1" t="s">
        <v>297</v>
      </c>
      <c r="B1" t="s">
        <v>298</v>
      </c>
      <c r="C1" s="178">
        <v>42185</v>
      </c>
      <c r="D1" s="178">
        <v>42296</v>
      </c>
      <c r="E1" t="s">
        <v>2471</v>
      </c>
      <c r="F1" t="s">
        <v>2472</v>
      </c>
    </row>
    <row r="2" spans="1:6">
      <c r="A2">
        <v>4529</v>
      </c>
      <c r="B2" t="s">
        <v>2209</v>
      </c>
      <c r="C2">
        <v>12.25</v>
      </c>
      <c r="D2" t="e">
        <f>VLOOKUP(A2,收盤價!A:B,3,0)</f>
        <v>#REF!</v>
      </c>
      <c r="E2" s="85">
        <v>2.4530612244897956</v>
      </c>
      <c r="F2">
        <v>99.87</v>
      </c>
    </row>
    <row r="3" spans="1:6">
      <c r="A3">
        <v>1541</v>
      </c>
      <c r="B3" t="s">
        <v>1279</v>
      </c>
      <c r="C3">
        <v>20.6</v>
      </c>
      <c r="D3">
        <f>VLOOKUP(A3,收盤價!A:C,3,0)</f>
        <v>58.2</v>
      </c>
      <c r="E3" s="85">
        <v>1.5970873786407764</v>
      </c>
      <c r="F3">
        <v>99.81</v>
      </c>
    </row>
    <row r="4" spans="1:6">
      <c r="A4">
        <v>4420</v>
      </c>
      <c r="B4" t="s">
        <v>2199</v>
      </c>
      <c r="C4">
        <v>27.25</v>
      </c>
      <c r="D4" t="e">
        <f>VLOOKUP(A4,收盤價!A:B,3,0)</f>
        <v>#REF!</v>
      </c>
      <c r="E4" s="85">
        <v>1.4000000000000001</v>
      </c>
      <c r="F4">
        <v>99.75</v>
      </c>
    </row>
    <row r="5" spans="1:6">
      <c r="A5">
        <v>3205</v>
      </c>
      <c r="B5" t="s">
        <v>339</v>
      </c>
      <c r="C5">
        <v>88.5</v>
      </c>
      <c r="D5" t="e">
        <f>VLOOKUP(A5,收盤價!A:B,3,0)</f>
        <v>#REF!</v>
      </c>
      <c r="E5" s="85">
        <v>1.2768361581920904</v>
      </c>
      <c r="F5">
        <v>99.68</v>
      </c>
    </row>
    <row r="6" spans="1:6">
      <c r="A6">
        <v>3511</v>
      </c>
      <c r="B6" t="s">
        <v>2130</v>
      </c>
      <c r="C6">
        <v>18.899999999999999</v>
      </c>
      <c r="D6" t="e">
        <f>VLOOKUP(A6,收盤價!A:B,3,0)</f>
        <v>#REF!</v>
      </c>
      <c r="E6" s="85">
        <v>1.08994708994709</v>
      </c>
      <c r="F6">
        <v>99.62</v>
      </c>
    </row>
    <row r="7" spans="1:6">
      <c r="A7">
        <v>6238</v>
      </c>
      <c r="B7" t="s">
        <v>2358</v>
      </c>
      <c r="C7">
        <v>72.2</v>
      </c>
      <c r="D7" t="e">
        <f>VLOOKUP(A7,收盤價!A:B,3,0)</f>
        <v>#REF!</v>
      </c>
      <c r="E7" s="85">
        <v>1.0221606648199446</v>
      </c>
      <c r="F7">
        <v>99.56</v>
      </c>
    </row>
    <row r="8" spans="1:6">
      <c r="A8">
        <v>3555</v>
      </c>
      <c r="B8" t="s">
        <v>2142</v>
      </c>
      <c r="C8">
        <v>3.76</v>
      </c>
      <c r="D8" t="e">
        <f>VLOOKUP(A8,收盤價!A:B,3,0)</f>
        <v>#REF!</v>
      </c>
      <c r="E8" s="85">
        <v>1.0053191489361704</v>
      </c>
      <c r="F8">
        <v>99.49</v>
      </c>
    </row>
    <row r="9" spans="1:6">
      <c r="A9">
        <v>6201</v>
      </c>
      <c r="B9" t="s">
        <v>2040</v>
      </c>
      <c r="C9">
        <v>12.57</v>
      </c>
      <c r="D9" t="e">
        <f>VLOOKUP(A9,收盤價!A:B,3,0)</f>
        <v>#REF!</v>
      </c>
      <c r="E9" s="85">
        <v>0.96499602227525849</v>
      </c>
      <c r="F9">
        <v>99.43</v>
      </c>
    </row>
    <row r="10" spans="1:6">
      <c r="A10">
        <v>1599</v>
      </c>
      <c r="B10" t="s">
        <v>2050</v>
      </c>
      <c r="C10">
        <v>31.6</v>
      </c>
      <c r="D10">
        <f>VLOOKUP(A10,收盤價!A:C,3,0)</f>
        <v>60</v>
      </c>
      <c r="E10" s="85">
        <v>0.96202531645569611</v>
      </c>
      <c r="F10">
        <v>99.37</v>
      </c>
    </row>
    <row r="11" spans="1:6">
      <c r="A11">
        <v>2364</v>
      </c>
      <c r="B11" t="s">
        <v>1443</v>
      </c>
      <c r="C11">
        <v>2.04</v>
      </c>
      <c r="D11" t="e">
        <f>VLOOKUP(A11,收盤價!A:B,3,0)</f>
        <v>#REF!</v>
      </c>
      <c r="E11" s="85">
        <v>0.93137254901960775</v>
      </c>
      <c r="F11">
        <v>99.31</v>
      </c>
    </row>
    <row r="12" spans="1:6">
      <c r="A12">
        <v>5245</v>
      </c>
      <c r="B12" t="s">
        <v>451</v>
      </c>
      <c r="C12">
        <v>46.2</v>
      </c>
      <c r="D12" t="e">
        <f>VLOOKUP(A12,收盤價!A:B,3,0)</f>
        <v>#REF!</v>
      </c>
      <c r="E12" s="85">
        <v>0.75324675324675316</v>
      </c>
      <c r="F12">
        <v>99.24</v>
      </c>
    </row>
    <row r="13" spans="1:6">
      <c r="A13">
        <v>5315</v>
      </c>
      <c r="B13" t="s">
        <v>2261</v>
      </c>
      <c r="C13">
        <v>13.3</v>
      </c>
      <c r="D13" t="e">
        <f>VLOOKUP(A13,收盤價!A:B,3,0)</f>
        <v>#REF!</v>
      </c>
      <c r="E13" s="85">
        <v>0.72556390977443597</v>
      </c>
      <c r="F13">
        <v>99.18</v>
      </c>
    </row>
    <row r="14" spans="1:6">
      <c r="A14">
        <v>6165</v>
      </c>
      <c r="B14" t="s">
        <v>1882</v>
      </c>
      <c r="C14">
        <v>7.05</v>
      </c>
      <c r="D14" t="e">
        <f>VLOOKUP(A14,收盤價!A:B,3,0)</f>
        <v>#REF!</v>
      </c>
      <c r="E14" s="85">
        <v>0.71631205673758869</v>
      </c>
      <c r="F14">
        <v>99.12</v>
      </c>
    </row>
    <row r="15" spans="1:6">
      <c r="A15">
        <v>6452</v>
      </c>
      <c r="B15" t="s">
        <v>1934</v>
      </c>
      <c r="C15">
        <v>172</v>
      </c>
      <c r="D15" t="e">
        <f>VLOOKUP(A15,收盤價!A:B,3,0)</f>
        <v>#REF!</v>
      </c>
      <c r="E15" s="85">
        <v>0.65697674418604646</v>
      </c>
      <c r="F15">
        <v>99.05</v>
      </c>
    </row>
    <row r="16" spans="1:6">
      <c r="A16">
        <v>4502</v>
      </c>
      <c r="B16" t="s">
        <v>2203</v>
      </c>
      <c r="C16">
        <v>4.83</v>
      </c>
      <c r="D16" t="e">
        <f>VLOOKUP(A16,收盤價!A:B,3,0)</f>
        <v>#REF!</v>
      </c>
      <c r="E16" s="85">
        <v>0.65631469979296064</v>
      </c>
      <c r="F16">
        <v>98.99</v>
      </c>
    </row>
    <row r="17" spans="1:6">
      <c r="A17">
        <v>2388</v>
      </c>
      <c r="B17" t="s">
        <v>1460</v>
      </c>
      <c r="C17">
        <v>5.15</v>
      </c>
      <c r="D17" t="e">
        <f>VLOOKUP(A17,收盤價!A:B,3,0)</f>
        <v>#REF!</v>
      </c>
      <c r="E17" s="85">
        <v>0.63106796116504849</v>
      </c>
      <c r="F17">
        <v>98.93</v>
      </c>
    </row>
    <row r="18" spans="1:6">
      <c r="A18">
        <v>8105</v>
      </c>
      <c r="B18" t="s">
        <v>1951</v>
      </c>
      <c r="C18">
        <v>8.26</v>
      </c>
      <c r="D18" t="e">
        <f>VLOOKUP(A18,收盤價!A:B,3,0)</f>
        <v>#REF!</v>
      </c>
      <c r="E18" s="85">
        <v>0.61622276029055689</v>
      </c>
      <c r="F18">
        <v>98.86</v>
      </c>
    </row>
    <row r="19" spans="1:6">
      <c r="A19">
        <v>4415</v>
      </c>
      <c r="B19" t="s">
        <v>2196</v>
      </c>
      <c r="C19">
        <v>13</v>
      </c>
      <c r="D19" t="e">
        <f>VLOOKUP(A19,收盤價!A:B,3,0)</f>
        <v>#REF!</v>
      </c>
      <c r="E19" s="85">
        <v>0.61538461538461542</v>
      </c>
      <c r="F19">
        <v>98.8</v>
      </c>
    </row>
    <row r="20" spans="1:6">
      <c r="A20">
        <v>4108</v>
      </c>
      <c r="B20" t="s">
        <v>1786</v>
      </c>
      <c r="C20">
        <v>18.899999999999999</v>
      </c>
      <c r="D20" t="e">
        <f>VLOOKUP(A20,收盤價!A:B,3,0)</f>
        <v>#REF!</v>
      </c>
      <c r="E20" s="85">
        <v>0.58730158730158744</v>
      </c>
      <c r="F20">
        <v>98.74</v>
      </c>
    </row>
    <row r="21" spans="1:6">
      <c r="A21">
        <v>3494</v>
      </c>
      <c r="B21" t="s">
        <v>1737</v>
      </c>
      <c r="C21">
        <v>11.65</v>
      </c>
      <c r="D21" t="e">
        <f>VLOOKUP(A21,收盤價!A:B,3,0)</f>
        <v>#REF!</v>
      </c>
      <c r="E21" s="85">
        <v>0.48497854077253222</v>
      </c>
      <c r="F21">
        <v>98.67</v>
      </c>
    </row>
    <row r="22" spans="1:6">
      <c r="A22">
        <v>9951</v>
      </c>
      <c r="B22" t="s">
        <v>2455</v>
      </c>
      <c r="C22">
        <v>117</v>
      </c>
      <c r="D22" t="e">
        <f>VLOOKUP(A22,收盤價!A:B,3,0)</f>
        <v>#REF!</v>
      </c>
      <c r="E22" s="85">
        <v>0.4358974358974359</v>
      </c>
      <c r="F22">
        <v>98.61</v>
      </c>
    </row>
    <row r="23" spans="1:6">
      <c r="A23">
        <v>4935</v>
      </c>
      <c r="B23" t="s">
        <v>1818</v>
      </c>
      <c r="C23">
        <v>40</v>
      </c>
      <c r="D23" t="e">
        <f>VLOOKUP(A23,收盤價!A:B,3,0)</f>
        <v>#REF!</v>
      </c>
      <c r="E23" s="85">
        <v>0.42750000000000005</v>
      </c>
      <c r="F23">
        <v>98.55</v>
      </c>
    </row>
    <row r="24" spans="1:6">
      <c r="A24">
        <v>1527</v>
      </c>
      <c r="B24" t="s">
        <v>1266</v>
      </c>
      <c r="C24">
        <v>42.35</v>
      </c>
      <c r="D24">
        <f>VLOOKUP(A24,收盤價!A:C,3,0)</f>
        <v>59.1</v>
      </c>
      <c r="E24" s="85">
        <v>0.42148760330578516</v>
      </c>
      <c r="F24">
        <v>98.48</v>
      </c>
    </row>
    <row r="25" spans="1:6">
      <c r="A25">
        <v>1529</v>
      </c>
      <c r="B25" t="s">
        <v>1268</v>
      </c>
      <c r="C25">
        <v>3.62</v>
      </c>
      <c r="D25">
        <f>VLOOKUP(A25,收盤價!A:C,3,0)</f>
        <v>5.3</v>
      </c>
      <c r="E25" s="85">
        <v>0.40883977900552471</v>
      </c>
      <c r="F25">
        <v>98.42</v>
      </c>
    </row>
    <row r="26" spans="1:6">
      <c r="A26">
        <v>8222</v>
      </c>
      <c r="B26" t="s">
        <v>1962</v>
      </c>
      <c r="C26">
        <v>17.3</v>
      </c>
      <c r="D26" t="e">
        <f>VLOOKUP(A26,收盤價!A:B,3,0)</f>
        <v>#REF!</v>
      </c>
      <c r="E26" s="85">
        <v>0.40751445086705207</v>
      </c>
      <c r="F26">
        <v>98.36</v>
      </c>
    </row>
    <row r="27" spans="1:6">
      <c r="A27">
        <v>1704</v>
      </c>
      <c r="B27" t="s">
        <v>1304</v>
      </c>
      <c r="C27">
        <v>19.55</v>
      </c>
      <c r="D27">
        <f>VLOOKUP(A27,收盤價!A:C,3,0)</f>
        <v>26.75</v>
      </c>
      <c r="E27" s="85">
        <v>0.40153452685421981</v>
      </c>
      <c r="F27">
        <v>98.29</v>
      </c>
    </row>
    <row r="28" spans="1:6">
      <c r="A28">
        <v>5398</v>
      </c>
      <c r="B28" t="s">
        <v>470</v>
      </c>
      <c r="C28">
        <v>14.5</v>
      </c>
      <c r="D28" t="e">
        <f>VLOOKUP(A28,收盤價!A:B,3,0)</f>
        <v>#REF!</v>
      </c>
      <c r="E28" s="85">
        <v>0.4</v>
      </c>
      <c r="F28">
        <v>98.23</v>
      </c>
    </row>
    <row r="29" spans="1:6">
      <c r="A29">
        <v>8433</v>
      </c>
      <c r="B29" t="s">
        <v>563</v>
      </c>
      <c r="C29">
        <v>88.7</v>
      </c>
      <c r="D29" t="e">
        <f>VLOOKUP(A29,收盤價!A:B,3,0)</f>
        <v>#REF!</v>
      </c>
      <c r="E29" s="85">
        <v>0.39797068771138666</v>
      </c>
      <c r="F29">
        <v>98.17</v>
      </c>
    </row>
    <row r="30" spans="1:6">
      <c r="A30">
        <v>4174</v>
      </c>
      <c r="B30" t="s">
        <v>415</v>
      </c>
      <c r="C30">
        <v>292</v>
      </c>
      <c r="D30" t="e">
        <f>VLOOKUP(A30,收盤價!A:B,3,0)</f>
        <v>#REF!</v>
      </c>
      <c r="E30" s="85">
        <v>0.36986301369863012</v>
      </c>
      <c r="F30">
        <v>98.1</v>
      </c>
    </row>
    <row r="31" spans="1:6">
      <c r="A31">
        <v>4971</v>
      </c>
      <c r="B31" t="s">
        <v>2235</v>
      </c>
      <c r="C31">
        <v>86.5</v>
      </c>
      <c r="D31" t="e">
        <f>VLOOKUP(A31,收盤價!A:B,3,0)</f>
        <v>#REF!</v>
      </c>
      <c r="E31" s="85">
        <v>0.35260115606936415</v>
      </c>
      <c r="F31">
        <v>98.04</v>
      </c>
    </row>
    <row r="32" spans="1:6">
      <c r="A32">
        <v>3552</v>
      </c>
      <c r="B32" t="s">
        <v>2141</v>
      </c>
      <c r="C32">
        <v>175</v>
      </c>
      <c r="D32" t="e">
        <f>VLOOKUP(A32,收盤價!A:B,3,0)</f>
        <v>#REF!</v>
      </c>
      <c r="E32" s="85">
        <v>0.34857142857142859</v>
      </c>
      <c r="F32">
        <v>97.98</v>
      </c>
    </row>
    <row r="33" spans="1:6">
      <c r="A33">
        <v>4911</v>
      </c>
      <c r="B33" t="s">
        <v>436</v>
      </c>
      <c r="C33">
        <v>61.2</v>
      </c>
      <c r="D33" t="e">
        <f>VLOOKUP(A33,收盤價!A:B,3,0)</f>
        <v>#REF!</v>
      </c>
      <c r="E33" s="85">
        <v>0.34803921568627444</v>
      </c>
      <c r="F33">
        <v>97.92</v>
      </c>
    </row>
    <row r="34" spans="1:6">
      <c r="A34">
        <v>4168</v>
      </c>
      <c r="B34" t="s">
        <v>413</v>
      </c>
      <c r="C34">
        <v>42.6</v>
      </c>
      <c r="D34" t="e">
        <f>VLOOKUP(A34,收盤價!A:B,3,0)</f>
        <v>#REF!</v>
      </c>
      <c r="E34" s="85">
        <v>0.3333333333333332</v>
      </c>
      <c r="F34">
        <v>97.85</v>
      </c>
    </row>
    <row r="35" spans="1:6">
      <c r="A35">
        <v>1515</v>
      </c>
      <c r="B35" t="s">
        <v>1257</v>
      </c>
      <c r="C35">
        <v>9.64</v>
      </c>
      <c r="D35">
        <f>VLOOKUP(A35,收盤價!A:C,3,0)</f>
        <v>12.7</v>
      </c>
      <c r="E35" s="85">
        <v>0.32261410788381734</v>
      </c>
      <c r="F35">
        <v>97.79</v>
      </c>
    </row>
    <row r="36" spans="1:6">
      <c r="A36">
        <v>2723</v>
      </c>
      <c r="B36" t="s">
        <v>1599</v>
      </c>
      <c r="C36">
        <v>149.5</v>
      </c>
      <c r="D36" t="e">
        <f>VLOOKUP(A36,收盤價!A:B,3,0)</f>
        <v>#REF!</v>
      </c>
      <c r="E36" s="85">
        <v>0.31772575250836121</v>
      </c>
      <c r="F36">
        <v>97.73</v>
      </c>
    </row>
    <row r="37" spans="1:6">
      <c r="A37">
        <v>3035</v>
      </c>
      <c r="B37" t="s">
        <v>1678</v>
      </c>
      <c r="C37">
        <v>37.950000000000003</v>
      </c>
      <c r="D37" t="e">
        <f>VLOOKUP(A37,收盤價!A:B,3,0)</f>
        <v>#REF!</v>
      </c>
      <c r="E37" s="85">
        <v>0.31225296442687728</v>
      </c>
      <c r="F37">
        <v>97.66</v>
      </c>
    </row>
    <row r="38" spans="1:6">
      <c r="A38">
        <v>3625</v>
      </c>
      <c r="B38" t="s">
        <v>395</v>
      </c>
      <c r="C38">
        <v>9</v>
      </c>
      <c r="D38" t="e">
        <f>VLOOKUP(A38,收盤價!A:B,3,0)</f>
        <v>#REF!</v>
      </c>
      <c r="E38" s="85">
        <v>0.30555555555555558</v>
      </c>
      <c r="F38">
        <v>97.6</v>
      </c>
    </row>
    <row r="39" spans="1:6">
      <c r="A39">
        <v>8420</v>
      </c>
      <c r="B39" t="s">
        <v>558</v>
      </c>
      <c r="C39">
        <v>17.2</v>
      </c>
      <c r="D39" t="e">
        <f>VLOOKUP(A39,收盤價!A:B,3,0)</f>
        <v>#REF!</v>
      </c>
      <c r="E39" s="85">
        <v>0.29941860465116293</v>
      </c>
      <c r="F39">
        <v>97.54</v>
      </c>
    </row>
    <row r="40" spans="1:6">
      <c r="A40">
        <v>1305</v>
      </c>
      <c r="B40" t="s">
        <v>1179</v>
      </c>
      <c r="C40">
        <v>10.95</v>
      </c>
      <c r="D40">
        <f>VLOOKUP(A40,收盤價!A:C,3,0)</f>
        <v>14.2</v>
      </c>
      <c r="E40" s="85">
        <v>0.29680365296803657</v>
      </c>
      <c r="F40">
        <v>97.47</v>
      </c>
    </row>
    <row r="41" spans="1:6">
      <c r="A41">
        <v>9924</v>
      </c>
      <c r="B41" t="s">
        <v>2017</v>
      </c>
      <c r="C41">
        <v>38.200000000000003</v>
      </c>
      <c r="D41" t="e">
        <f>VLOOKUP(A41,收盤價!A:B,3,0)</f>
        <v>#REF!</v>
      </c>
      <c r="E41" s="85">
        <v>0.29057591623036633</v>
      </c>
      <c r="F41">
        <v>97.41</v>
      </c>
    </row>
    <row r="42" spans="1:6">
      <c r="A42">
        <v>2847</v>
      </c>
      <c r="B42" t="s">
        <v>1614</v>
      </c>
      <c r="C42">
        <v>10.75</v>
      </c>
      <c r="D42" t="e">
        <f>VLOOKUP(A42,收盤價!A:B,3,0)</f>
        <v>#REF!</v>
      </c>
      <c r="E42" s="85">
        <v>0.28837209302325578</v>
      </c>
      <c r="F42">
        <v>97.35</v>
      </c>
    </row>
    <row r="43" spans="1:6">
      <c r="A43">
        <v>8916</v>
      </c>
      <c r="B43" t="s">
        <v>568</v>
      </c>
      <c r="C43">
        <v>37.299999999999997</v>
      </c>
      <c r="D43" t="e">
        <f>VLOOKUP(A43,收盤價!A:B,3,0)</f>
        <v>#REF!</v>
      </c>
      <c r="E43" s="85">
        <v>0.28686327077747997</v>
      </c>
      <c r="F43">
        <v>97.28</v>
      </c>
    </row>
    <row r="44" spans="1:6">
      <c r="A44">
        <v>4105</v>
      </c>
      <c r="B44" t="s">
        <v>2167</v>
      </c>
      <c r="C44">
        <v>72.099999999999994</v>
      </c>
      <c r="D44" t="e">
        <f>VLOOKUP(A44,收盤價!A:B,3,0)</f>
        <v>#REF!</v>
      </c>
      <c r="E44" s="85">
        <v>0.26907073509015267</v>
      </c>
      <c r="F44">
        <v>97.22</v>
      </c>
    </row>
    <row r="45" spans="1:6">
      <c r="A45">
        <v>2228</v>
      </c>
      <c r="B45" t="s">
        <v>1397</v>
      </c>
      <c r="C45">
        <v>138</v>
      </c>
      <c r="D45">
        <f>VLOOKUP(A45,收盤價!A:C,3,0)</f>
        <v>174.5</v>
      </c>
      <c r="E45" s="85">
        <v>0.26811594202898553</v>
      </c>
      <c r="F45">
        <v>97.16</v>
      </c>
    </row>
    <row r="46" spans="1:6">
      <c r="A46">
        <v>4137</v>
      </c>
      <c r="B46" t="s">
        <v>1789</v>
      </c>
      <c r="C46">
        <v>204.5</v>
      </c>
      <c r="D46" t="e">
        <f>VLOOKUP(A46,收盤價!A:B,3,0)</f>
        <v>#REF!</v>
      </c>
      <c r="E46" s="85">
        <v>0.26161369193154033</v>
      </c>
      <c r="F46">
        <v>97.09</v>
      </c>
    </row>
    <row r="47" spans="1:6">
      <c r="A47">
        <v>4722</v>
      </c>
      <c r="B47" t="s">
        <v>1803</v>
      </c>
      <c r="C47">
        <v>26.3</v>
      </c>
      <c r="D47" t="e">
        <f>VLOOKUP(A47,收盤價!A:B,3,0)</f>
        <v>#REF!</v>
      </c>
      <c r="E47" s="85">
        <v>0.25475285171102657</v>
      </c>
      <c r="F47">
        <v>97.03</v>
      </c>
    </row>
    <row r="48" spans="1:6">
      <c r="A48">
        <v>1337</v>
      </c>
      <c r="B48" t="s">
        <v>1196</v>
      </c>
      <c r="C48">
        <v>18.45</v>
      </c>
      <c r="D48">
        <f>VLOOKUP(A48,收盤價!A:C,3,0)</f>
        <v>22.05</v>
      </c>
      <c r="E48" s="85">
        <v>0.2520325203252034</v>
      </c>
      <c r="F48">
        <v>96.97</v>
      </c>
    </row>
    <row r="49" spans="1:6">
      <c r="A49">
        <v>5388</v>
      </c>
      <c r="B49" t="s">
        <v>1842</v>
      </c>
      <c r="C49">
        <v>62.2</v>
      </c>
      <c r="D49" t="e">
        <f>VLOOKUP(A49,收盤價!A:B,3,0)</f>
        <v>#REF!</v>
      </c>
      <c r="E49" s="85">
        <v>0.24919614147909966</v>
      </c>
      <c r="F49">
        <v>96.9</v>
      </c>
    </row>
    <row r="50" spans="1:6">
      <c r="A50">
        <v>1729</v>
      </c>
      <c r="B50" t="s">
        <v>1324</v>
      </c>
      <c r="C50">
        <v>61.3</v>
      </c>
      <c r="D50">
        <f>VLOOKUP(A50,收盤價!A:C,3,0)</f>
        <v>76.900000000000006</v>
      </c>
      <c r="E50" s="85">
        <v>0.24796084828711262</v>
      </c>
      <c r="F50">
        <v>96.84</v>
      </c>
    </row>
    <row r="51" spans="1:6">
      <c r="A51">
        <v>8049</v>
      </c>
      <c r="B51" t="s">
        <v>2390</v>
      </c>
      <c r="C51">
        <v>7.8</v>
      </c>
      <c r="D51" t="e">
        <f>VLOOKUP(A51,收盤價!A:B,3,0)</f>
        <v>#REF!</v>
      </c>
      <c r="E51" s="85">
        <v>0.24615384615384625</v>
      </c>
      <c r="F51">
        <v>96.78</v>
      </c>
    </row>
    <row r="52" spans="1:6">
      <c r="A52">
        <v>6220</v>
      </c>
      <c r="B52" t="s">
        <v>514</v>
      </c>
      <c r="C52">
        <v>13.85</v>
      </c>
      <c r="D52" t="e">
        <f>VLOOKUP(A52,收盤價!A:B,3,0)</f>
        <v>#REF!</v>
      </c>
      <c r="E52" s="85">
        <v>0.23465703971119148</v>
      </c>
      <c r="F52">
        <v>96.72</v>
      </c>
    </row>
    <row r="53" spans="1:6">
      <c r="A53">
        <v>9928</v>
      </c>
      <c r="B53" t="s">
        <v>2021</v>
      </c>
      <c r="C53">
        <v>10.3</v>
      </c>
      <c r="D53" t="e">
        <f>VLOOKUP(A53,收盤價!A:B,3,0)</f>
        <v>#REF!</v>
      </c>
      <c r="E53" s="85">
        <v>0.2281553398058252</v>
      </c>
      <c r="F53">
        <v>96.65</v>
      </c>
    </row>
    <row r="54" spans="1:6">
      <c r="A54">
        <v>8421</v>
      </c>
      <c r="B54" t="s">
        <v>559</v>
      </c>
      <c r="C54">
        <v>10.199999999999999</v>
      </c>
      <c r="D54" t="e">
        <f>VLOOKUP(A54,收盤價!A:B,3,0)</f>
        <v>#REF!</v>
      </c>
      <c r="E54" s="85">
        <v>0.22549019607843146</v>
      </c>
      <c r="F54">
        <v>96.59</v>
      </c>
    </row>
    <row r="55" spans="1:6">
      <c r="A55">
        <v>3049</v>
      </c>
      <c r="B55" t="s">
        <v>1691</v>
      </c>
      <c r="C55">
        <v>4.1500000000000004</v>
      </c>
      <c r="D55" t="e">
        <f>VLOOKUP(A55,收盤價!A:B,3,0)</f>
        <v>#REF!</v>
      </c>
      <c r="E55" s="85">
        <v>0.2240963855421686</v>
      </c>
      <c r="F55">
        <v>96.53</v>
      </c>
    </row>
    <row r="56" spans="1:6">
      <c r="A56">
        <v>5536</v>
      </c>
      <c r="B56" t="s">
        <v>486</v>
      </c>
      <c r="C56">
        <v>70.099999999999994</v>
      </c>
      <c r="D56" t="e">
        <f>VLOOKUP(A56,收盤價!A:B,3,0)</f>
        <v>#REF!</v>
      </c>
      <c r="E56" s="85">
        <v>0.2196861626248218</v>
      </c>
      <c r="F56">
        <v>96.46</v>
      </c>
    </row>
    <row r="57" spans="1:6">
      <c r="A57">
        <v>3548</v>
      </c>
      <c r="B57" t="s">
        <v>383</v>
      </c>
      <c r="C57">
        <v>23.9</v>
      </c>
      <c r="D57" t="e">
        <f>VLOOKUP(A57,收盤價!A:B,3,0)</f>
        <v>#REF!</v>
      </c>
      <c r="E57" s="85">
        <v>0.21966527196652721</v>
      </c>
      <c r="F57">
        <v>96.4</v>
      </c>
    </row>
    <row r="58" spans="1:6">
      <c r="A58">
        <v>8933</v>
      </c>
      <c r="B58" t="s">
        <v>2448</v>
      </c>
      <c r="C58">
        <v>13.9</v>
      </c>
      <c r="D58" t="e">
        <f>VLOOKUP(A58,收盤價!A:B,3,0)</f>
        <v>#REF!</v>
      </c>
      <c r="E58" s="85">
        <v>0.2122302158273382</v>
      </c>
      <c r="F58">
        <v>96.34</v>
      </c>
    </row>
    <row r="59" spans="1:6">
      <c r="A59">
        <v>1432</v>
      </c>
      <c r="B59" t="s">
        <v>1210</v>
      </c>
      <c r="C59">
        <v>17.3</v>
      </c>
      <c r="D59">
        <f>VLOOKUP(A59,收盤價!A:C,3,0)</f>
        <v>20.75</v>
      </c>
      <c r="E59" s="85">
        <v>0.21098265895953749</v>
      </c>
      <c r="F59">
        <v>96.27</v>
      </c>
    </row>
    <row r="60" spans="1:6">
      <c r="A60">
        <v>2313</v>
      </c>
      <c r="B60" t="s">
        <v>1407</v>
      </c>
      <c r="C60">
        <v>18.25</v>
      </c>
      <c r="D60">
        <f>VLOOKUP(A60,收盤價!A:C,3,0)</f>
        <v>22.6</v>
      </c>
      <c r="E60" s="85">
        <v>0.21095890410958912</v>
      </c>
      <c r="F60">
        <v>96.21</v>
      </c>
    </row>
    <row r="61" spans="1:6">
      <c r="A61">
        <v>1752</v>
      </c>
      <c r="B61" t="s">
        <v>310</v>
      </c>
      <c r="C61">
        <v>34.9</v>
      </c>
      <c r="D61">
        <f>VLOOKUP(A61,收盤價!A:C,3,0)</f>
        <v>44.75</v>
      </c>
      <c r="E61" s="85">
        <v>0.21060171919770779</v>
      </c>
      <c r="F61">
        <v>96.15</v>
      </c>
    </row>
    <row r="62" spans="1:6">
      <c r="A62">
        <v>3324</v>
      </c>
      <c r="B62" t="s">
        <v>2112</v>
      </c>
      <c r="C62">
        <v>18.45</v>
      </c>
      <c r="D62" t="e">
        <f>VLOOKUP(A62,收盤價!A:B,3,0)</f>
        <v>#REF!</v>
      </c>
      <c r="E62" s="85">
        <v>0.20867208672086729</v>
      </c>
      <c r="F62">
        <v>96.08</v>
      </c>
    </row>
    <row r="63" spans="1:6">
      <c r="A63">
        <v>1533</v>
      </c>
      <c r="B63" t="s">
        <v>1272</v>
      </c>
      <c r="C63">
        <v>39.65</v>
      </c>
      <c r="D63">
        <f>VLOOKUP(A63,收盤價!A:C,3,0)</f>
        <v>47.25</v>
      </c>
      <c r="E63" s="85">
        <v>0.20680958385876427</v>
      </c>
      <c r="F63">
        <v>96.02</v>
      </c>
    </row>
    <row r="64" spans="1:6">
      <c r="A64">
        <v>1799</v>
      </c>
      <c r="B64" t="s">
        <v>2464</v>
      </c>
      <c r="C64">
        <v>25.7</v>
      </c>
      <c r="D64">
        <f>VLOOKUP(A64,收盤價!A:C,3,0)</f>
        <v>30.45</v>
      </c>
      <c r="E64" s="85">
        <v>0.20622568093385218</v>
      </c>
      <c r="F64">
        <v>95.96</v>
      </c>
    </row>
    <row r="65" spans="1:6">
      <c r="A65">
        <v>4736</v>
      </c>
      <c r="B65" t="s">
        <v>434</v>
      </c>
      <c r="C65">
        <v>75.8</v>
      </c>
      <c r="D65" t="e">
        <f>VLOOKUP(A65,收盤價!A:B,3,0)</f>
        <v>#REF!</v>
      </c>
      <c r="E65" s="85">
        <v>0.20448548812664907</v>
      </c>
      <c r="F65">
        <v>95.89</v>
      </c>
    </row>
    <row r="66" spans="1:6">
      <c r="A66">
        <v>2492</v>
      </c>
      <c r="B66" t="s">
        <v>1537</v>
      </c>
      <c r="C66">
        <v>12.55</v>
      </c>
      <c r="D66" t="e">
        <f>VLOOKUP(A66,收盤價!A:B,3,0)</f>
        <v>#REF!</v>
      </c>
      <c r="E66" s="85">
        <v>0.19920318725099601</v>
      </c>
      <c r="F66">
        <v>95.83</v>
      </c>
    </row>
    <row r="67" spans="1:6">
      <c r="A67">
        <v>4107</v>
      </c>
      <c r="B67" t="s">
        <v>2168</v>
      </c>
      <c r="C67">
        <v>95.9</v>
      </c>
      <c r="D67" t="e">
        <f>VLOOKUP(A67,收盤價!A:B,3,0)</f>
        <v>#REF!</v>
      </c>
      <c r="E67" s="85">
        <v>0.19916579770594361</v>
      </c>
      <c r="F67">
        <v>95.77</v>
      </c>
    </row>
    <row r="68" spans="1:6">
      <c r="A68">
        <v>2905</v>
      </c>
      <c r="B68" t="s">
        <v>1640</v>
      </c>
      <c r="C68">
        <v>17.850000000000001</v>
      </c>
      <c r="D68" t="e">
        <f>VLOOKUP(A68,收盤價!A:B,3,0)</f>
        <v>#REF!</v>
      </c>
      <c r="E68" s="85">
        <v>0.19887955182072811</v>
      </c>
      <c r="F68">
        <v>95.7</v>
      </c>
    </row>
    <row r="69" spans="1:6">
      <c r="A69">
        <v>8096</v>
      </c>
      <c r="B69" t="s">
        <v>2406</v>
      </c>
      <c r="C69">
        <v>15.75</v>
      </c>
      <c r="D69" t="e">
        <f>VLOOKUP(A69,收盤價!A:B,3,0)</f>
        <v>#REF!</v>
      </c>
      <c r="E69" s="85">
        <v>0.19365079365079368</v>
      </c>
      <c r="F69">
        <v>95.64</v>
      </c>
    </row>
    <row r="70" spans="1:6">
      <c r="A70">
        <v>3492</v>
      </c>
      <c r="B70" t="s">
        <v>2128</v>
      </c>
      <c r="C70">
        <v>23.8</v>
      </c>
      <c r="D70" t="e">
        <f>VLOOKUP(A70,收盤價!A:B,3,0)</f>
        <v>#REF!</v>
      </c>
      <c r="E70" s="85">
        <v>0.19117647058823531</v>
      </c>
      <c r="F70">
        <v>95.58</v>
      </c>
    </row>
    <row r="71" spans="1:6">
      <c r="A71">
        <v>2614</v>
      </c>
      <c r="B71" t="s">
        <v>1583</v>
      </c>
      <c r="C71">
        <v>6.31</v>
      </c>
      <c r="D71" t="e">
        <f>VLOOKUP(A71,收盤價!A:B,3,0)</f>
        <v>#REF!</v>
      </c>
      <c r="E71" s="85">
        <v>0.18858954041204445</v>
      </c>
      <c r="F71">
        <v>95.51</v>
      </c>
    </row>
    <row r="72" spans="1:6">
      <c r="A72">
        <v>3587</v>
      </c>
      <c r="B72" t="s">
        <v>2149</v>
      </c>
      <c r="C72">
        <v>51.5</v>
      </c>
      <c r="D72" t="e">
        <f>VLOOKUP(A72,收盤價!A:B,3,0)</f>
        <v>#REF!</v>
      </c>
      <c r="E72" s="85">
        <v>0.18834951456310686</v>
      </c>
      <c r="F72">
        <v>95.45</v>
      </c>
    </row>
    <row r="73" spans="1:6">
      <c r="A73">
        <v>6244</v>
      </c>
      <c r="B73" t="s">
        <v>524</v>
      </c>
      <c r="C73">
        <v>36.6</v>
      </c>
      <c r="D73" t="e">
        <f>VLOOKUP(A73,收盤價!A:B,3,0)</f>
        <v>#REF!</v>
      </c>
      <c r="E73" s="85">
        <v>0.18306010928961736</v>
      </c>
      <c r="F73">
        <v>95.39</v>
      </c>
    </row>
    <row r="74" spans="1:6">
      <c r="A74">
        <v>6114</v>
      </c>
      <c r="B74" t="s">
        <v>2467</v>
      </c>
      <c r="C74">
        <v>46.7</v>
      </c>
      <c r="D74" t="e">
        <f>VLOOKUP(A74,收盤價!A:B,3,0)</f>
        <v>#REF!</v>
      </c>
      <c r="E74" s="85">
        <v>0.18201284796573874</v>
      </c>
      <c r="F74">
        <v>95.33</v>
      </c>
    </row>
    <row r="75" spans="1:6">
      <c r="A75">
        <v>2404</v>
      </c>
      <c r="B75" t="s">
        <v>1469</v>
      </c>
      <c r="C75">
        <v>33.35</v>
      </c>
      <c r="D75" t="e">
        <f>VLOOKUP(A75,收盤價!A:B,3,0)</f>
        <v>#REF!</v>
      </c>
      <c r="E75" s="85">
        <v>0.17841079460269851</v>
      </c>
      <c r="F75">
        <v>95.26</v>
      </c>
    </row>
    <row r="76" spans="1:6">
      <c r="A76">
        <v>3512</v>
      </c>
      <c r="B76" t="s">
        <v>2131</v>
      </c>
      <c r="C76">
        <v>31.2</v>
      </c>
      <c r="D76" t="e">
        <f>VLOOKUP(A76,收盤價!A:B,3,0)</f>
        <v>#REF!</v>
      </c>
      <c r="E76" s="85">
        <v>0.17788461538461542</v>
      </c>
      <c r="F76">
        <v>95.2</v>
      </c>
    </row>
    <row r="77" spans="1:6">
      <c r="A77">
        <v>1522</v>
      </c>
      <c r="B77" t="s">
        <v>1262</v>
      </c>
      <c r="C77">
        <v>19.350000000000001</v>
      </c>
      <c r="D77">
        <f>VLOOKUP(A77,收盤價!A:C,3,0)</f>
        <v>22.8</v>
      </c>
      <c r="E77" s="85">
        <v>0.17312661498707999</v>
      </c>
      <c r="F77">
        <v>95.14</v>
      </c>
    </row>
    <row r="78" spans="1:6">
      <c r="A78">
        <v>6024</v>
      </c>
      <c r="B78" t="s">
        <v>494</v>
      </c>
      <c r="C78">
        <v>24.55</v>
      </c>
      <c r="D78" t="e">
        <f>VLOOKUP(A78,收盤價!A:B,3,0)</f>
        <v>#REF!</v>
      </c>
      <c r="E78" s="85">
        <v>0.17311608961303462</v>
      </c>
      <c r="F78">
        <v>95.07</v>
      </c>
    </row>
    <row r="79" spans="1:6">
      <c r="A79">
        <v>8436</v>
      </c>
      <c r="B79" t="s">
        <v>2437</v>
      </c>
      <c r="C79">
        <v>86.6</v>
      </c>
      <c r="D79" t="e">
        <f>VLOOKUP(A79,收盤價!A:B,3,0)</f>
        <v>#REF!</v>
      </c>
      <c r="E79" s="85">
        <v>0.17205542725173217</v>
      </c>
      <c r="F79">
        <v>95.01</v>
      </c>
    </row>
    <row r="80" spans="1:6">
      <c r="A80">
        <v>2849</v>
      </c>
      <c r="B80" t="s">
        <v>1615</v>
      </c>
      <c r="C80">
        <v>13.75</v>
      </c>
      <c r="D80" t="e">
        <f>VLOOKUP(A80,收盤價!A:B,3,0)</f>
        <v>#REF!</v>
      </c>
      <c r="E80" s="85">
        <v>0.17090909090909101</v>
      </c>
      <c r="F80">
        <v>94.95</v>
      </c>
    </row>
    <row r="81" spans="1:6">
      <c r="A81">
        <v>9934</v>
      </c>
      <c r="B81" t="s">
        <v>2026</v>
      </c>
      <c r="C81">
        <v>13.2</v>
      </c>
      <c r="D81" t="e">
        <f>VLOOKUP(A81,收盤價!A:B,3,0)</f>
        <v>#REF!</v>
      </c>
      <c r="E81" s="85">
        <v>0.16666666666666677</v>
      </c>
      <c r="F81">
        <v>94.88</v>
      </c>
    </row>
    <row r="82" spans="1:6">
      <c r="A82">
        <v>5395</v>
      </c>
      <c r="B82" t="s">
        <v>2275</v>
      </c>
      <c r="C82">
        <v>30</v>
      </c>
      <c r="D82" t="e">
        <f>VLOOKUP(A82,收盤價!A:B,3,0)</f>
        <v>#REF!</v>
      </c>
      <c r="E82" s="85">
        <v>0.16333333333333327</v>
      </c>
      <c r="F82">
        <v>94.82</v>
      </c>
    </row>
    <row r="83" spans="1:6">
      <c r="A83">
        <v>8924</v>
      </c>
      <c r="B83" t="s">
        <v>2444</v>
      </c>
      <c r="C83">
        <v>17.8</v>
      </c>
      <c r="D83" t="e">
        <f>VLOOKUP(A83,收盤價!A:B,3,0)</f>
        <v>#REF!</v>
      </c>
      <c r="E83" s="85">
        <v>0.16292134831460667</v>
      </c>
      <c r="F83">
        <v>94.76</v>
      </c>
    </row>
    <row r="84" spans="1:6">
      <c r="A84">
        <v>4728</v>
      </c>
      <c r="B84" t="s">
        <v>432</v>
      </c>
      <c r="C84">
        <v>24.35</v>
      </c>
      <c r="D84" t="e">
        <f>VLOOKUP(A84,收盤價!A:B,3,0)</f>
        <v>#REF!</v>
      </c>
      <c r="E84" s="85">
        <v>0.16221765913757696</v>
      </c>
      <c r="F84">
        <v>94.69</v>
      </c>
    </row>
    <row r="85" spans="1:6">
      <c r="A85">
        <v>2481</v>
      </c>
      <c r="B85" t="s">
        <v>1528</v>
      </c>
      <c r="C85">
        <v>11.15</v>
      </c>
      <c r="D85" t="e">
        <f>VLOOKUP(A85,收盤價!A:B,3,0)</f>
        <v>#REF!</v>
      </c>
      <c r="E85" s="85">
        <v>0.16143497757847525</v>
      </c>
      <c r="F85">
        <v>94.63</v>
      </c>
    </row>
    <row r="86" spans="1:6">
      <c r="A86">
        <v>6117</v>
      </c>
      <c r="B86" t="s">
        <v>1868</v>
      </c>
      <c r="C86">
        <v>13.1</v>
      </c>
      <c r="D86" t="e">
        <f>VLOOKUP(A86,收盤價!A:B,3,0)</f>
        <v>#REF!</v>
      </c>
      <c r="E86" s="85">
        <v>0.16030534351145037</v>
      </c>
      <c r="F86">
        <v>94.57</v>
      </c>
    </row>
    <row r="87" spans="1:6">
      <c r="A87">
        <v>5288</v>
      </c>
      <c r="B87" t="s">
        <v>1840</v>
      </c>
      <c r="C87">
        <v>68.099999999999994</v>
      </c>
      <c r="D87" t="e">
        <f>VLOOKUP(A87,收盤價!A:B,3,0)</f>
        <v>#REF!</v>
      </c>
      <c r="E87" s="85">
        <v>0.15712187958884</v>
      </c>
      <c r="F87">
        <v>94.5</v>
      </c>
    </row>
    <row r="88" spans="1:6">
      <c r="A88">
        <v>2345</v>
      </c>
      <c r="B88" t="s">
        <v>1426</v>
      </c>
      <c r="C88">
        <v>14.7</v>
      </c>
      <c r="D88">
        <f>VLOOKUP(A88,收盤價!A:C,3,0)</f>
        <v>18.55</v>
      </c>
      <c r="E88" s="85">
        <v>0.15646258503401367</v>
      </c>
      <c r="F88">
        <v>94.44</v>
      </c>
    </row>
    <row r="89" spans="1:6">
      <c r="A89">
        <v>4406</v>
      </c>
      <c r="B89" t="s">
        <v>2194</v>
      </c>
      <c r="C89">
        <v>10.65</v>
      </c>
      <c r="D89" t="e">
        <f>VLOOKUP(A89,收盤價!A:B,3,0)</f>
        <v>#REF!</v>
      </c>
      <c r="E89" s="85">
        <v>0.15492957746478875</v>
      </c>
      <c r="F89">
        <v>94.38</v>
      </c>
    </row>
    <row r="90" spans="1:6">
      <c r="A90">
        <v>4506</v>
      </c>
      <c r="B90" t="s">
        <v>423</v>
      </c>
      <c r="C90">
        <v>28.3</v>
      </c>
      <c r="D90" t="e">
        <f>VLOOKUP(A90,收盤價!A:B,3,0)</f>
        <v>#REF!</v>
      </c>
      <c r="E90" s="85">
        <v>0.15194346289752653</v>
      </c>
      <c r="F90">
        <v>94.31</v>
      </c>
    </row>
    <row r="91" spans="1:6">
      <c r="A91">
        <v>4128</v>
      </c>
      <c r="B91" t="s">
        <v>2175</v>
      </c>
      <c r="C91">
        <v>23.4</v>
      </c>
      <c r="D91" t="e">
        <f>VLOOKUP(A91,收盤價!A:B,3,0)</f>
        <v>#REF!</v>
      </c>
      <c r="E91" s="85">
        <v>0.15170940170940175</v>
      </c>
      <c r="F91">
        <v>94.25</v>
      </c>
    </row>
    <row r="92" spans="1:6">
      <c r="A92">
        <v>4102</v>
      </c>
      <c r="B92" t="s">
        <v>2165</v>
      </c>
      <c r="C92">
        <v>17.5</v>
      </c>
      <c r="D92" t="e">
        <f>VLOOKUP(A92,收盤價!A:B,3,0)</f>
        <v>#REF!</v>
      </c>
      <c r="E92" s="85">
        <v>0.15142857142857136</v>
      </c>
      <c r="F92">
        <v>94.19</v>
      </c>
    </row>
    <row r="93" spans="1:6">
      <c r="A93">
        <v>8427</v>
      </c>
      <c r="B93" t="s">
        <v>1971</v>
      </c>
      <c r="C93">
        <v>43.05</v>
      </c>
      <c r="D93" t="e">
        <f>VLOOKUP(A93,收盤價!A:B,3,0)</f>
        <v>#REF!</v>
      </c>
      <c r="E93" s="85">
        <v>0.15098722415795587</v>
      </c>
      <c r="F93">
        <v>94.13</v>
      </c>
    </row>
    <row r="94" spans="1:6">
      <c r="A94">
        <v>8069</v>
      </c>
      <c r="B94" t="s">
        <v>2396</v>
      </c>
      <c r="C94">
        <v>14.15</v>
      </c>
      <c r="D94" t="e">
        <f>VLOOKUP(A94,收盤價!A:B,3,0)</f>
        <v>#REF!</v>
      </c>
      <c r="E94" s="85">
        <v>0.14487632508833914</v>
      </c>
      <c r="F94">
        <v>94.06</v>
      </c>
    </row>
    <row r="95" spans="1:6">
      <c r="A95">
        <v>4164</v>
      </c>
      <c r="B95" t="s">
        <v>1793</v>
      </c>
      <c r="C95">
        <v>52.5</v>
      </c>
      <c r="D95" t="e">
        <f>VLOOKUP(A95,收盤價!A:B,3,0)</f>
        <v>#REF!</v>
      </c>
      <c r="E95" s="85">
        <v>0.14476190476190479</v>
      </c>
      <c r="F95">
        <v>94</v>
      </c>
    </row>
    <row r="96" spans="1:6">
      <c r="A96">
        <v>2929</v>
      </c>
      <c r="B96" t="s">
        <v>1649</v>
      </c>
      <c r="C96">
        <v>120</v>
      </c>
      <c r="D96" t="e">
        <f>VLOOKUP(A96,收盤價!A:B,3,0)</f>
        <v>#REF!</v>
      </c>
      <c r="E96" s="85">
        <v>0.14166666666666666</v>
      </c>
      <c r="F96">
        <v>93.94</v>
      </c>
    </row>
    <row r="97" spans="1:6">
      <c r="A97">
        <v>3027</v>
      </c>
      <c r="B97" t="s">
        <v>1670</v>
      </c>
      <c r="C97">
        <v>11.65</v>
      </c>
      <c r="D97" t="e">
        <f>VLOOKUP(A97,收盤價!A:B,3,0)</f>
        <v>#REF!</v>
      </c>
      <c r="E97" s="85">
        <v>0.14163090128755368</v>
      </c>
      <c r="F97">
        <v>93.87</v>
      </c>
    </row>
    <row r="98" spans="1:6">
      <c r="A98">
        <v>2017</v>
      </c>
      <c r="B98" t="s">
        <v>1362</v>
      </c>
      <c r="C98">
        <v>4.96</v>
      </c>
      <c r="D98">
        <f>VLOOKUP(A98,收盤價!A:C,3,0)</f>
        <v>5.64</v>
      </c>
      <c r="E98" s="85">
        <v>0.14112903225806456</v>
      </c>
      <c r="F98">
        <v>93.81</v>
      </c>
    </row>
    <row r="99" spans="1:6">
      <c r="A99">
        <v>8261</v>
      </c>
      <c r="B99" t="s">
        <v>1964</v>
      </c>
      <c r="C99">
        <v>27</v>
      </c>
      <c r="D99" t="e">
        <f>VLOOKUP(A99,收盤價!A:B,3,0)</f>
        <v>#REF!</v>
      </c>
      <c r="E99" s="85">
        <v>0.14074074074074078</v>
      </c>
      <c r="F99">
        <v>93.75</v>
      </c>
    </row>
    <row r="100" spans="1:6">
      <c r="A100">
        <v>6227</v>
      </c>
      <c r="B100" t="s">
        <v>517</v>
      </c>
      <c r="C100">
        <v>15.65</v>
      </c>
      <c r="D100" t="e">
        <f>VLOOKUP(A100,收盤價!A:B,3,0)</f>
        <v>#REF!</v>
      </c>
      <c r="E100" s="85">
        <v>0.14057507987220455</v>
      </c>
      <c r="F100">
        <v>93.68</v>
      </c>
    </row>
    <row r="101" spans="1:6">
      <c r="A101">
        <v>4129</v>
      </c>
      <c r="B101" t="s">
        <v>2176</v>
      </c>
      <c r="C101">
        <v>52</v>
      </c>
      <c r="D101" t="e">
        <f>VLOOKUP(A101,收盤價!A:B,3,0)</f>
        <v>#REF!</v>
      </c>
      <c r="E101" s="85">
        <v>0.14038461538461533</v>
      </c>
      <c r="F101">
        <v>93.62</v>
      </c>
    </row>
    <row r="102" spans="1:6">
      <c r="A102">
        <v>5491</v>
      </c>
      <c r="B102" t="s">
        <v>2289</v>
      </c>
      <c r="C102">
        <v>7.27</v>
      </c>
      <c r="D102" t="e">
        <f>VLOOKUP(A102,收盤價!A:B,3,0)</f>
        <v>#REF!</v>
      </c>
      <c r="E102" s="85">
        <v>0.13892709766162309</v>
      </c>
      <c r="F102">
        <v>93.56</v>
      </c>
    </row>
    <row r="103" spans="1:6">
      <c r="A103">
        <v>6101</v>
      </c>
      <c r="B103" t="s">
        <v>2311</v>
      </c>
      <c r="C103">
        <v>15.65</v>
      </c>
      <c r="D103" t="e">
        <f>VLOOKUP(A103,收盤價!A:B,3,0)</f>
        <v>#REF!</v>
      </c>
      <c r="E103" s="85">
        <v>0.13738019169329074</v>
      </c>
      <c r="F103">
        <v>93.49</v>
      </c>
    </row>
    <row r="104" spans="1:6">
      <c r="A104">
        <v>1464</v>
      </c>
      <c r="B104" t="s">
        <v>1236</v>
      </c>
      <c r="C104">
        <v>30.1</v>
      </c>
      <c r="D104">
        <f>VLOOKUP(A104,收盤價!A:C,3,0)</f>
        <v>35.4</v>
      </c>
      <c r="E104" s="85">
        <v>0.13455149501661121</v>
      </c>
      <c r="F104">
        <v>93.43</v>
      </c>
    </row>
    <row r="105" spans="1:6">
      <c r="A105">
        <v>4192</v>
      </c>
      <c r="B105" t="s">
        <v>2188</v>
      </c>
      <c r="C105">
        <v>40</v>
      </c>
      <c r="D105" t="e">
        <f>VLOOKUP(A105,收盤價!A:B,3,0)</f>
        <v>#REF!</v>
      </c>
      <c r="E105" s="85">
        <v>0.13375000000000004</v>
      </c>
      <c r="F105">
        <v>93.37</v>
      </c>
    </row>
    <row r="106" spans="1:6">
      <c r="A106">
        <v>2488</v>
      </c>
      <c r="B106" t="s">
        <v>1534</v>
      </c>
      <c r="C106">
        <v>27.8</v>
      </c>
      <c r="D106" t="e">
        <f>VLOOKUP(A106,收盤價!A:B,3,0)</f>
        <v>#REF!</v>
      </c>
      <c r="E106" s="85">
        <v>0.13309352517985609</v>
      </c>
      <c r="F106">
        <v>93.3</v>
      </c>
    </row>
    <row r="107" spans="1:6">
      <c r="A107">
        <v>4550</v>
      </c>
      <c r="B107" t="s">
        <v>426</v>
      </c>
      <c r="C107">
        <v>20.05</v>
      </c>
      <c r="D107" t="e">
        <f>VLOOKUP(A107,收盤價!A:B,3,0)</f>
        <v>#REF!</v>
      </c>
      <c r="E107" s="85">
        <v>0.1321695760598503</v>
      </c>
      <c r="F107">
        <v>93.24</v>
      </c>
    </row>
    <row r="108" spans="1:6">
      <c r="A108">
        <v>5206</v>
      </c>
      <c r="B108" t="s">
        <v>447</v>
      </c>
      <c r="C108">
        <v>10.85</v>
      </c>
      <c r="D108" t="e">
        <f>VLOOKUP(A108,收盤價!A:B,3,0)</f>
        <v>#REF!</v>
      </c>
      <c r="E108" s="85">
        <v>0.12903225806451615</v>
      </c>
      <c r="F108">
        <v>93.18</v>
      </c>
    </row>
    <row r="109" spans="1:6">
      <c r="A109">
        <v>6111</v>
      </c>
      <c r="B109" t="s">
        <v>2317</v>
      </c>
      <c r="C109">
        <v>70</v>
      </c>
      <c r="D109" t="e">
        <f>VLOOKUP(A109,收盤價!A:B,3,0)</f>
        <v>#REF!</v>
      </c>
      <c r="E109" s="85">
        <v>0.12857142857142856</v>
      </c>
      <c r="F109">
        <v>93.11</v>
      </c>
    </row>
    <row r="110" spans="1:6">
      <c r="A110">
        <v>8341</v>
      </c>
      <c r="B110" t="s">
        <v>1966</v>
      </c>
      <c r="C110">
        <v>87</v>
      </c>
      <c r="D110" t="e">
        <f>VLOOKUP(A110,收盤價!A:B,3,0)</f>
        <v>#REF!</v>
      </c>
      <c r="E110" s="85">
        <v>0.12758620689655165</v>
      </c>
      <c r="F110">
        <v>93.05</v>
      </c>
    </row>
    <row r="111" spans="1:6">
      <c r="A111">
        <v>4188</v>
      </c>
      <c r="B111" t="s">
        <v>2187</v>
      </c>
      <c r="C111">
        <v>27.5</v>
      </c>
      <c r="D111" t="e">
        <f>VLOOKUP(A111,收盤價!A:B,3,0)</f>
        <v>#REF!</v>
      </c>
      <c r="E111" s="85">
        <v>0.12727272727272726</v>
      </c>
      <c r="F111">
        <v>92.99</v>
      </c>
    </row>
    <row r="112" spans="1:6">
      <c r="A112">
        <v>3131</v>
      </c>
      <c r="B112" t="s">
        <v>2084</v>
      </c>
      <c r="C112">
        <v>165</v>
      </c>
      <c r="D112" t="e">
        <f>VLOOKUP(A112,收盤價!A:B,3,0)</f>
        <v>#REF!</v>
      </c>
      <c r="E112" s="85">
        <v>0.12727272727272726</v>
      </c>
      <c r="F112">
        <v>92.92</v>
      </c>
    </row>
    <row r="113" spans="1:6">
      <c r="A113">
        <v>2485</v>
      </c>
      <c r="B113" t="s">
        <v>1532</v>
      </c>
      <c r="C113">
        <v>33.1</v>
      </c>
      <c r="D113" t="e">
        <f>VLOOKUP(A113,收盤價!A:B,3,0)</f>
        <v>#REF!</v>
      </c>
      <c r="E113" s="85">
        <v>0.12688821752265847</v>
      </c>
      <c r="F113">
        <v>92.86</v>
      </c>
    </row>
    <row r="114" spans="1:6">
      <c r="A114">
        <v>3038</v>
      </c>
      <c r="B114" t="s">
        <v>1681</v>
      </c>
      <c r="C114">
        <v>7.15</v>
      </c>
      <c r="D114" t="e">
        <f>VLOOKUP(A114,收盤價!A:B,3,0)</f>
        <v>#REF!</v>
      </c>
      <c r="E114" s="85">
        <v>0.12587412587412591</v>
      </c>
      <c r="F114">
        <v>92.8</v>
      </c>
    </row>
    <row r="115" spans="1:6">
      <c r="A115">
        <v>2911</v>
      </c>
      <c r="B115" t="s">
        <v>1644</v>
      </c>
      <c r="C115">
        <v>14.3</v>
      </c>
      <c r="D115" t="e">
        <f>VLOOKUP(A115,收盤價!A:B,3,0)</f>
        <v>#REF!</v>
      </c>
      <c r="E115" s="85">
        <v>0.12587412587412591</v>
      </c>
      <c r="F115">
        <v>92.74</v>
      </c>
    </row>
    <row r="116" spans="1:6">
      <c r="A116">
        <v>1309</v>
      </c>
      <c r="B116" t="s">
        <v>1182</v>
      </c>
      <c r="C116">
        <v>8.1999999999999993</v>
      </c>
      <c r="D116">
        <f>VLOOKUP(A116,收盤價!A:C,3,0)</f>
        <v>9.1</v>
      </c>
      <c r="E116" s="85">
        <v>0.12560975609756111</v>
      </c>
      <c r="F116">
        <v>92.67</v>
      </c>
    </row>
    <row r="117" spans="1:6">
      <c r="A117">
        <v>2498</v>
      </c>
      <c r="B117" t="s">
        <v>1542</v>
      </c>
      <c r="C117">
        <v>72</v>
      </c>
      <c r="D117" t="e">
        <f>VLOOKUP(A117,收盤價!A:B,3,0)</f>
        <v>#REF!</v>
      </c>
      <c r="E117" s="85">
        <v>0.125</v>
      </c>
      <c r="F117">
        <v>92.61</v>
      </c>
    </row>
    <row r="118" spans="1:6">
      <c r="A118">
        <v>4139</v>
      </c>
      <c r="B118" t="s">
        <v>2179</v>
      </c>
      <c r="C118">
        <v>68.5</v>
      </c>
      <c r="D118" t="e">
        <f>VLOOKUP(A118,收盤價!A:B,3,0)</f>
        <v>#REF!</v>
      </c>
      <c r="E118" s="85">
        <v>0.12408759124087591</v>
      </c>
      <c r="F118">
        <v>92.55</v>
      </c>
    </row>
    <row r="119" spans="1:6">
      <c r="A119">
        <v>1504</v>
      </c>
      <c r="B119" t="s">
        <v>1251</v>
      </c>
      <c r="C119">
        <v>23.95</v>
      </c>
      <c r="D119">
        <f>VLOOKUP(A119,收盤價!A:C,3,0)</f>
        <v>27.55</v>
      </c>
      <c r="E119" s="85">
        <v>0.12317327766179538</v>
      </c>
      <c r="F119">
        <v>92.48</v>
      </c>
    </row>
    <row r="120" spans="1:6">
      <c r="A120">
        <v>3419</v>
      </c>
      <c r="B120" t="s">
        <v>1729</v>
      </c>
      <c r="C120">
        <v>11.9</v>
      </c>
      <c r="D120" t="e">
        <f>VLOOKUP(A120,收盤價!A:B,3,0)</f>
        <v>#REF!</v>
      </c>
      <c r="E120" s="85">
        <v>0.12184873949579826</v>
      </c>
      <c r="F120">
        <v>92.42</v>
      </c>
    </row>
    <row r="121" spans="1:6">
      <c r="A121">
        <v>9136</v>
      </c>
      <c r="B121" t="s">
        <v>1998</v>
      </c>
      <c r="C121">
        <v>15.05</v>
      </c>
      <c r="D121" t="e">
        <f>VLOOKUP(A121,收盤價!A:B,3,0)</f>
        <v>#REF!</v>
      </c>
      <c r="E121" s="85">
        <v>0.11960132890365453</v>
      </c>
      <c r="F121">
        <v>92.36</v>
      </c>
    </row>
    <row r="122" spans="1:6">
      <c r="A122">
        <v>3032</v>
      </c>
      <c r="B122" t="s">
        <v>1675</v>
      </c>
      <c r="C122">
        <v>18.05</v>
      </c>
      <c r="D122" t="e">
        <f>VLOOKUP(A122,收盤價!A:B,3,0)</f>
        <v>#REF!</v>
      </c>
      <c r="E122" s="85">
        <v>0.11911357340720213</v>
      </c>
      <c r="F122">
        <v>92.29</v>
      </c>
    </row>
    <row r="123" spans="1:6">
      <c r="A123">
        <v>3118</v>
      </c>
      <c r="B123" t="s">
        <v>2081</v>
      </c>
      <c r="C123">
        <v>32.85</v>
      </c>
      <c r="D123" t="e">
        <f>VLOOKUP(A123,收盤價!A:B,3,0)</f>
        <v>#REF!</v>
      </c>
      <c r="E123" s="85">
        <v>0.11872146118721456</v>
      </c>
      <c r="F123">
        <v>92.23</v>
      </c>
    </row>
    <row r="124" spans="1:6">
      <c r="A124">
        <v>3684</v>
      </c>
      <c r="B124" t="s">
        <v>2161</v>
      </c>
      <c r="C124">
        <v>53.1</v>
      </c>
      <c r="D124" t="e">
        <f>VLOOKUP(A124,收盤價!A:B,3,0)</f>
        <v>#REF!</v>
      </c>
      <c r="E124" s="85">
        <v>0.11864406779661012</v>
      </c>
      <c r="F124">
        <v>92.17</v>
      </c>
    </row>
    <row r="125" spans="1:6">
      <c r="A125">
        <v>2383</v>
      </c>
      <c r="B125" t="s">
        <v>1457</v>
      </c>
      <c r="C125">
        <v>60.1</v>
      </c>
      <c r="D125" t="e">
        <f>VLOOKUP(A125,收盤價!A:B,3,0)</f>
        <v>#REF!</v>
      </c>
      <c r="E125" s="85">
        <v>0.11813643926788688</v>
      </c>
      <c r="F125">
        <v>92.1</v>
      </c>
    </row>
    <row r="126" spans="1:6">
      <c r="A126">
        <v>8074</v>
      </c>
      <c r="B126" t="s">
        <v>2397</v>
      </c>
      <c r="C126">
        <v>22.15</v>
      </c>
      <c r="D126" t="e">
        <f>VLOOKUP(A126,收盤價!A:B,3,0)</f>
        <v>#REF!</v>
      </c>
      <c r="E126" s="85">
        <v>0.11738148984198653</v>
      </c>
      <c r="F126">
        <v>92.04</v>
      </c>
    </row>
    <row r="127" spans="1:6">
      <c r="A127">
        <v>1725</v>
      </c>
      <c r="B127" t="s">
        <v>1321</v>
      </c>
      <c r="C127">
        <v>13.3</v>
      </c>
      <c r="D127">
        <f>VLOOKUP(A127,收盤價!A:C,3,0)</f>
        <v>14.9</v>
      </c>
      <c r="E127" s="85">
        <v>0.11654135338345856</v>
      </c>
      <c r="F127">
        <v>91.98</v>
      </c>
    </row>
    <row r="128" spans="1:6">
      <c r="A128">
        <v>3617</v>
      </c>
      <c r="B128" t="s">
        <v>1765</v>
      </c>
      <c r="C128">
        <v>67</v>
      </c>
      <c r="D128" t="e">
        <f>VLOOKUP(A128,收盤價!A:B,3,0)</f>
        <v>#REF!</v>
      </c>
      <c r="E128" s="85">
        <v>0.11492537313432841</v>
      </c>
      <c r="F128">
        <v>91.91</v>
      </c>
    </row>
    <row r="129" spans="1:6">
      <c r="A129">
        <v>4142</v>
      </c>
      <c r="B129" t="s">
        <v>1791</v>
      </c>
      <c r="C129">
        <v>20.9</v>
      </c>
      <c r="D129" t="e">
        <f>VLOOKUP(A129,收盤價!A:B,3,0)</f>
        <v>#REF!</v>
      </c>
      <c r="E129" s="85">
        <v>0.11483253588516758</v>
      </c>
      <c r="F129">
        <v>91.85</v>
      </c>
    </row>
    <row r="130" spans="1:6">
      <c r="A130">
        <v>4171</v>
      </c>
      <c r="B130" t="s">
        <v>2185</v>
      </c>
      <c r="C130">
        <v>38.9</v>
      </c>
      <c r="D130" t="e">
        <f>VLOOKUP(A130,收盤價!A:B,3,0)</f>
        <v>#REF!</v>
      </c>
      <c r="E130" s="85">
        <v>0.11053984575835486</v>
      </c>
      <c r="F130">
        <v>91.79</v>
      </c>
    </row>
    <row r="131" spans="1:6">
      <c r="A131">
        <v>2375</v>
      </c>
      <c r="B131" t="s">
        <v>1451</v>
      </c>
      <c r="C131">
        <v>13.75</v>
      </c>
      <c r="D131" t="e">
        <f>VLOOKUP(A131,收盤價!A:B,3,0)</f>
        <v>#REF!</v>
      </c>
      <c r="E131" s="85">
        <v>0.10909090909090909</v>
      </c>
      <c r="F131">
        <v>91.72</v>
      </c>
    </row>
    <row r="132" spans="1:6">
      <c r="A132">
        <v>5324</v>
      </c>
      <c r="B132" t="s">
        <v>463</v>
      </c>
      <c r="C132">
        <v>10.1</v>
      </c>
      <c r="D132" t="e">
        <f>VLOOKUP(A132,收盤價!A:B,3,0)</f>
        <v>#REF!</v>
      </c>
      <c r="E132" s="85">
        <v>0.10891089108910888</v>
      </c>
      <c r="F132">
        <v>91.66</v>
      </c>
    </row>
    <row r="133" spans="1:6">
      <c r="A133">
        <v>2867</v>
      </c>
      <c r="B133" t="s">
        <v>1621</v>
      </c>
      <c r="C133">
        <v>18</v>
      </c>
      <c r="D133" t="e">
        <f>VLOOKUP(A133,收盤價!A:B,3,0)</f>
        <v>#REF!</v>
      </c>
      <c r="E133" s="85">
        <v>0.1083333333333333</v>
      </c>
      <c r="F133">
        <v>91.6</v>
      </c>
    </row>
    <row r="134" spans="1:6">
      <c r="A134">
        <v>5522</v>
      </c>
      <c r="B134" t="s">
        <v>1850</v>
      </c>
      <c r="C134">
        <v>32.25</v>
      </c>
      <c r="D134" t="e">
        <f>VLOOKUP(A134,收盤價!A:B,3,0)</f>
        <v>#REF!</v>
      </c>
      <c r="E134" s="85">
        <v>0.10697674418604659</v>
      </c>
      <c r="F134">
        <v>91.54</v>
      </c>
    </row>
    <row r="135" spans="1:6">
      <c r="A135">
        <v>3313</v>
      </c>
      <c r="B135" t="s">
        <v>359</v>
      </c>
      <c r="C135">
        <v>7.32</v>
      </c>
      <c r="D135" t="e">
        <f>VLOOKUP(A135,收盤價!A:B,3,0)</f>
        <v>#REF!</v>
      </c>
      <c r="E135" s="85">
        <v>0.10655737704918024</v>
      </c>
      <c r="F135">
        <v>91.47</v>
      </c>
    </row>
    <row r="136" spans="1:6">
      <c r="A136">
        <v>1709</v>
      </c>
      <c r="B136" t="s">
        <v>1307</v>
      </c>
      <c r="C136">
        <v>13.35</v>
      </c>
      <c r="D136">
        <f>VLOOKUP(A136,收盤價!A:C,3,0)</f>
        <v>15.6</v>
      </c>
      <c r="E136" s="85">
        <v>0.10486891385767794</v>
      </c>
      <c r="F136">
        <v>91.41</v>
      </c>
    </row>
    <row r="137" spans="1:6">
      <c r="A137">
        <v>2395</v>
      </c>
      <c r="B137" t="s">
        <v>1464</v>
      </c>
      <c r="C137">
        <v>212</v>
      </c>
      <c r="D137" t="e">
        <f>VLOOKUP(A137,收盤價!A:B,3,0)</f>
        <v>#REF!</v>
      </c>
      <c r="E137" s="85">
        <v>0.10141509433962265</v>
      </c>
      <c r="F137">
        <v>91.35</v>
      </c>
    </row>
    <row r="138" spans="1:6">
      <c r="A138">
        <v>4746</v>
      </c>
      <c r="B138" t="s">
        <v>1807</v>
      </c>
      <c r="C138">
        <v>55.4</v>
      </c>
      <c r="D138" t="e">
        <f>VLOOKUP(A138,收盤價!A:B,3,0)</f>
        <v>#REF!</v>
      </c>
      <c r="E138" s="85">
        <v>0.10108303249097476</v>
      </c>
      <c r="F138">
        <v>91.28</v>
      </c>
    </row>
    <row r="139" spans="1:6">
      <c r="A139">
        <v>6213</v>
      </c>
      <c r="B139" t="s">
        <v>1900</v>
      </c>
      <c r="C139">
        <v>20.95</v>
      </c>
      <c r="D139" t="e">
        <f>VLOOKUP(A139,收盤價!A:B,3,0)</f>
        <v>#REF!</v>
      </c>
      <c r="E139" s="85">
        <v>0.10023866348448694</v>
      </c>
      <c r="F139">
        <v>91.22</v>
      </c>
    </row>
    <row r="140" spans="1:6">
      <c r="A140">
        <v>4915</v>
      </c>
      <c r="B140" t="s">
        <v>1812</v>
      </c>
      <c r="C140">
        <v>39.1</v>
      </c>
      <c r="D140" t="e">
        <f>VLOOKUP(A140,收盤價!A:B,3,0)</f>
        <v>#REF!</v>
      </c>
      <c r="E140" s="85">
        <v>9.9744245524296629E-2</v>
      </c>
      <c r="F140">
        <v>91.16</v>
      </c>
    </row>
    <row r="141" spans="1:6">
      <c r="A141">
        <v>1416</v>
      </c>
      <c r="B141" t="s">
        <v>1205</v>
      </c>
      <c r="C141">
        <v>16.05</v>
      </c>
      <c r="D141">
        <f>VLOOKUP(A141,收盤價!A:C,3,0)</f>
        <v>17.649999999999999</v>
      </c>
      <c r="E141" s="85">
        <v>9.968847352024908E-2</v>
      </c>
      <c r="F141">
        <v>91.09</v>
      </c>
    </row>
    <row r="142" spans="1:6">
      <c r="A142">
        <v>3454</v>
      </c>
      <c r="B142" t="s">
        <v>1734</v>
      </c>
      <c r="C142">
        <v>77.900000000000006</v>
      </c>
      <c r="D142" t="e">
        <f>VLOOKUP(A142,收盤價!A:B,3,0)</f>
        <v>#REF!</v>
      </c>
      <c r="E142" s="85">
        <v>9.8844672657252733E-2</v>
      </c>
      <c r="F142">
        <v>91.03</v>
      </c>
    </row>
    <row r="143" spans="1:6">
      <c r="A143">
        <v>1413</v>
      </c>
      <c r="B143" t="s">
        <v>1203</v>
      </c>
      <c r="C143">
        <v>8.24</v>
      </c>
      <c r="D143">
        <f>VLOOKUP(A143,收盤價!A:C,3,0)</f>
        <v>8.99</v>
      </c>
      <c r="E143" s="85">
        <v>9.8300970873786461E-2</v>
      </c>
      <c r="F143">
        <v>90.97</v>
      </c>
    </row>
    <row r="144" spans="1:6">
      <c r="A144">
        <v>6133</v>
      </c>
      <c r="B144" t="s">
        <v>1872</v>
      </c>
      <c r="C144">
        <v>9.6999999999999993</v>
      </c>
      <c r="D144" t="e">
        <f>VLOOKUP(A144,收盤價!A:B,3,0)</f>
        <v>#REF!</v>
      </c>
      <c r="E144" s="85">
        <v>9.7938144329897031E-2</v>
      </c>
      <c r="F144">
        <v>90.9</v>
      </c>
    </row>
    <row r="145" spans="1:6">
      <c r="A145">
        <v>9904</v>
      </c>
      <c r="B145" t="s">
        <v>2004</v>
      </c>
      <c r="C145">
        <v>44</v>
      </c>
      <c r="D145" t="e">
        <f>VLOOKUP(A145,收盤價!A:B,3,0)</f>
        <v>#REF!</v>
      </c>
      <c r="E145" s="85">
        <v>9.6590909090909088E-2</v>
      </c>
      <c r="F145">
        <v>90.84</v>
      </c>
    </row>
    <row r="146" spans="1:6">
      <c r="A146">
        <v>4414</v>
      </c>
      <c r="B146" t="s">
        <v>1795</v>
      </c>
      <c r="C146">
        <v>16.100000000000001</v>
      </c>
      <c r="D146" t="e">
        <f>VLOOKUP(A146,收盤價!A:B,3,0)</f>
        <v>#REF!</v>
      </c>
      <c r="E146" s="85">
        <v>9.6273291925465659E-2</v>
      </c>
      <c r="F146">
        <v>90.78</v>
      </c>
    </row>
    <row r="147" spans="1:6">
      <c r="A147">
        <v>2106</v>
      </c>
      <c r="B147" t="s">
        <v>1385</v>
      </c>
      <c r="C147">
        <v>48</v>
      </c>
      <c r="D147">
        <f>VLOOKUP(A147,收盤價!A:C,3,0)</f>
        <v>52.2</v>
      </c>
      <c r="E147" s="85">
        <v>9.5833333333333368E-2</v>
      </c>
      <c r="F147">
        <v>90.71</v>
      </c>
    </row>
    <row r="148" spans="1:6">
      <c r="A148">
        <v>9935</v>
      </c>
      <c r="B148" t="s">
        <v>2027</v>
      </c>
      <c r="C148">
        <v>9.4</v>
      </c>
      <c r="D148" t="e">
        <f>VLOOKUP(A148,收盤價!A:B,3,0)</f>
        <v>#REF!</v>
      </c>
      <c r="E148" s="85">
        <v>9.5744680851063871E-2</v>
      </c>
      <c r="F148">
        <v>90.65</v>
      </c>
    </row>
    <row r="149" spans="1:6">
      <c r="A149">
        <v>3664</v>
      </c>
      <c r="B149" t="s">
        <v>2158</v>
      </c>
      <c r="C149">
        <v>15.25</v>
      </c>
      <c r="D149" t="e">
        <f>VLOOKUP(A149,收盤價!A:B,3,0)</f>
        <v>#REF!</v>
      </c>
      <c r="E149" s="85">
        <v>9.508196721311471E-2</v>
      </c>
      <c r="F149">
        <v>90.59</v>
      </c>
    </row>
    <row r="150" spans="1:6">
      <c r="A150">
        <v>3703</v>
      </c>
      <c r="B150" t="s">
        <v>1780</v>
      </c>
      <c r="C150">
        <v>10</v>
      </c>
      <c r="D150" t="e">
        <f>VLOOKUP(A150,收盤價!A:B,3,0)</f>
        <v>#REF!</v>
      </c>
      <c r="E150" s="85">
        <v>9.4999999999999932E-2</v>
      </c>
      <c r="F150">
        <v>90.52</v>
      </c>
    </row>
    <row r="151" spans="1:6">
      <c r="A151">
        <v>1225</v>
      </c>
      <c r="B151" t="s">
        <v>1166</v>
      </c>
      <c r="C151">
        <v>21.2</v>
      </c>
      <c r="D151">
        <f>VLOOKUP(A151,收盤價!A:C,3,0)</f>
        <v>23.1</v>
      </c>
      <c r="E151" s="85">
        <v>9.4339622641509441E-2</v>
      </c>
      <c r="F151">
        <v>90.46</v>
      </c>
    </row>
    <row r="152" spans="1:6">
      <c r="A152">
        <v>2440</v>
      </c>
      <c r="B152" t="s">
        <v>1497</v>
      </c>
      <c r="C152">
        <v>7.45</v>
      </c>
      <c r="D152" t="e">
        <f>VLOOKUP(A152,收盤價!A:B,3,0)</f>
        <v>#REF!</v>
      </c>
      <c r="E152" s="85">
        <v>9.3959731543624178E-2</v>
      </c>
      <c r="F152">
        <v>90.4</v>
      </c>
    </row>
    <row r="153" spans="1:6">
      <c r="A153">
        <v>1762</v>
      </c>
      <c r="B153" t="s">
        <v>1333</v>
      </c>
      <c r="C153">
        <v>30.2</v>
      </c>
      <c r="D153">
        <f>VLOOKUP(A153,收盤價!A:C,3,0)</f>
        <v>33.200000000000003</v>
      </c>
      <c r="E153" s="85">
        <v>9.27152317880795E-2</v>
      </c>
      <c r="F153">
        <v>90.33</v>
      </c>
    </row>
    <row r="154" spans="1:6">
      <c r="A154">
        <v>8114</v>
      </c>
      <c r="B154" t="s">
        <v>1954</v>
      </c>
      <c r="C154">
        <v>156.5</v>
      </c>
      <c r="D154" t="e">
        <f>VLOOKUP(A154,收盤價!A:B,3,0)</f>
        <v>#REF!</v>
      </c>
      <c r="E154" s="85">
        <v>9.2651757188498399E-2</v>
      </c>
      <c r="F154">
        <v>90.27</v>
      </c>
    </row>
    <row r="155" spans="1:6">
      <c r="A155">
        <v>3016</v>
      </c>
      <c r="B155" t="s">
        <v>1660</v>
      </c>
      <c r="C155">
        <v>12</v>
      </c>
      <c r="D155" t="e">
        <f>VLOOKUP(A155,收盤價!A:B,3,0)</f>
        <v>#REF!</v>
      </c>
      <c r="E155" s="85">
        <v>9.1666666666666632E-2</v>
      </c>
      <c r="F155">
        <v>90.21</v>
      </c>
    </row>
    <row r="156" spans="1:6">
      <c r="A156">
        <v>8383</v>
      </c>
      <c r="B156" t="s">
        <v>555</v>
      </c>
      <c r="C156">
        <v>49.4</v>
      </c>
      <c r="D156" t="e">
        <f>VLOOKUP(A156,收盤價!A:B,3,0)</f>
        <v>#REF!</v>
      </c>
      <c r="E156" s="85">
        <v>9.1093117408906882E-2</v>
      </c>
      <c r="F156">
        <v>90.15</v>
      </c>
    </row>
    <row r="157" spans="1:6">
      <c r="A157">
        <v>1528</v>
      </c>
      <c r="B157" t="s">
        <v>1267</v>
      </c>
      <c r="C157">
        <v>9.0299999999999994</v>
      </c>
      <c r="D157">
        <f>VLOOKUP(A157,收盤價!A:C,3,0)</f>
        <v>10.35</v>
      </c>
      <c r="E157" s="85">
        <v>9.0808416389811783E-2</v>
      </c>
      <c r="F157">
        <v>90.08</v>
      </c>
    </row>
    <row r="158" spans="1:6">
      <c r="A158">
        <v>2007</v>
      </c>
      <c r="B158" t="s">
        <v>1354</v>
      </c>
      <c r="C158">
        <v>3.93</v>
      </c>
      <c r="D158">
        <f>VLOOKUP(A158,收盤價!A:C,3,0)</f>
        <v>4.2699999999999996</v>
      </c>
      <c r="E158" s="85">
        <v>8.9058524173028009E-2</v>
      </c>
      <c r="F158">
        <v>90.02</v>
      </c>
    </row>
    <row r="159" spans="1:6">
      <c r="A159">
        <v>6205</v>
      </c>
      <c r="B159" t="s">
        <v>1897</v>
      </c>
      <c r="C159">
        <v>27.55</v>
      </c>
      <c r="D159" t="e">
        <f>VLOOKUP(A159,收盤價!A:B,3,0)</f>
        <v>#REF!</v>
      </c>
      <c r="E159" s="85">
        <v>8.8929219600725931E-2</v>
      </c>
      <c r="F159">
        <v>89.96</v>
      </c>
    </row>
    <row r="160" spans="1:6">
      <c r="A160">
        <v>4157</v>
      </c>
      <c r="B160" t="s">
        <v>2181</v>
      </c>
      <c r="C160">
        <v>26.3</v>
      </c>
      <c r="D160" t="e">
        <f>VLOOKUP(A160,收盤價!A:B,3,0)</f>
        <v>#REF!</v>
      </c>
      <c r="E160" s="85">
        <v>8.745247148288976E-2</v>
      </c>
      <c r="F160">
        <v>89.89</v>
      </c>
    </row>
    <row r="161" spans="1:6">
      <c r="A161">
        <v>3054</v>
      </c>
      <c r="B161" t="s">
        <v>1695</v>
      </c>
      <c r="C161">
        <v>17.850000000000001</v>
      </c>
      <c r="D161" t="e">
        <f>VLOOKUP(A161,收盤價!A:B,3,0)</f>
        <v>#REF!</v>
      </c>
      <c r="E161" s="85">
        <v>8.6834733893557253E-2</v>
      </c>
      <c r="F161">
        <v>89.83</v>
      </c>
    </row>
    <row r="162" spans="1:6">
      <c r="A162">
        <v>3322</v>
      </c>
      <c r="B162" t="s">
        <v>2111</v>
      </c>
      <c r="C162">
        <v>9.9499999999999993</v>
      </c>
      <c r="D162" t="e">
        <f>VLOOKUP(A162,收盤價!A:B,3,0)</f>
        <v>#REF!</v>
      </c>
      <c r="E162" s="85">
        <v>8.5427135678392108E-2</v>
      </c>
      <c r="F162">
        <v>89.77</v>
      </c>
    </row>
    <row r="163" spans="1:6">
      <c r="A163">
        <v>1338</v>
      </c>
      <c r="B163" t="s">
        <v>1197</v>
      </c>
      <c r="C163">
        <v>107</v>
      </c>
      <c r="D163">
        <f>VLOOKUP(A163,收盤價!A:C,3,0)</f>
        <v>114.5</v>
      </c>
      <c r="E163" s="85">
        <v>8.4112149532710276E-2</v>
      </c>
      <c r="F163">
        <v>89.7</v>
      </c>
    </row>
    <row r="164" spans="1:6">
      <c r="A164">
        <v>2477</v>
      </c>
      <c r="B164" t="s">
        <v>1525</v>
      </c>
      <c r="C164">
        <v>11.95</v>
      </c>
      <c r="D164" t="e">
        <f>VLOOKUP(A164,收盤價!A:B,3,0)</f>
        <v>#REF!</v>
      </c>
      <c r="E164" s="85">
        <v>8.3682008368200847E-2</v>
      </c>
      <c r="F164">
        <v>89.64</v>
      </c>
    </row>
    <row r="165" spans="1:6">
      <c r="A165">
        <v>1536</v>
      </c>
      <c r="B165" t="s">
        <v>1274</v>
      </c>
      <c r="C165">
        <v>99.2</v>
      </c>
      <c r="D165">
        <f>VLOOKUP(A165,收盤價!A:C,3,0)</f>
        <v>104.5</v>
      </c>
      <c r="E165" s="85">
        <v>8.3669354838709645E-2</v>
      </c>
      <c r="F165">
        <v>89.58</v>
      </c>
    </row>
    <row r="166" spans="1:6">
      <c r="A166">
        <v>3508</v>
      </c>
      <c r="B166" t="s">
        <v>377</v>
      </c>
      <c r="C166">
        <v>15.1</v>
      </c>
      <c r="D166" t="e">
        <f>VLOOKUP(A166,收盤價!A:B,3,0)</f>
        <v>#REF!</v>
      </c>
      <c r="E166" s="85">
        <v>8.2781456953642502E-2</v>
      </c>
      <c r="F166">
        <v>89.51</v>
      </c>
    </row>
    <row r="167" spans="1:6">
      <c r="A167">
        <v>3479</v>
      </c>
      <c r="B167" t="s">
        <v>2126</v>
      </c>
      <c r="C167">
        <v>44.5</v>
      </c>
      <c r="D167" t="e">
        <f>VLOOKUP(A167,收盤價!A:B,3,0)</f>
        <v>#REF!</v>
      </c>
      <c r="E167" s="85">
        <v>7.8651685393258425E-2</v>
      </c>
      <c r="F167">
        <v>89.45</v>
      </c>
    </row>
    <row r="168" spans="1:6">
      <c r="A168">
        <v>4160</v>
      </c>
      <c r="B168" t="s">
        <v>2182</v>
      </c>
      <c r="C168">
        <v>26.9</v>
      </c>
      <c r="D168" t="e">
        <f>VLOOKUP(A168,收盤價!A:B,3,0)</f>
        <v>#REF!</v>
      </c>
      <c r="E168" s="85">
        <v>7.8066914498141321E-2</v>
      </c>
      <c r="F168">
        <v>89.39</v>
      </c>
    </row>
    <row r="169" spans="1:6">
      <c r="A169">
        <v>3691</v>
      </c>
      <c r="B169" t="s">
        <v>2164</v>
      </c>
      <c r="C169">
        <v>554</v>
      </c>
      <c r="D169" t="e">
        <f>VLOOKUP(A169,收盤價!A:B,3,0)</f>
        <v>#REF!</v>
      </c>
      <c r="E169" s="85">
        <v>7.7617328519855602E-2</v>
      </c>
      <c r="F169">
        <v>89.32</v>
      </c>
    </row>
    <row r="170" spans="1:6">
      <c r="A170">
        <v>1789</v>
      </c>
      <c r="B170" t="s">
        <v>1337</v>
      </c>
      <c r="C170">
        <v>35.15</v>
      </c>
      <c r="D170">
        <f>VLOOKUP(A170,收盤價!A:C,3,0)</f>
        <v>37.6</v>
      </c>
      <c r="E170" s="85">
        <v>7.6813655761024266E-2</v>
      </c>
      <c r="F170">
        <v>89.26</v>
      </c>
    </row>
    <row r="171" spans="1:6">
      <c r="A171">
        <v>6143</v>
      </c>
      <c r="B171" t="s">
        <v>2330</v>
      </c>
      <c r="C171">
        <v>61.5</v>
      </c>
      <c r="D171" t="e">
        <f>VLOOKUP(A171,收盤價!A:B,3,0)</f>
        <v>#REF!</v>
      </c>
      <c r="E171" s="85">
        <v>7.6422764227642326E-2</v>
      </c>
      <c r="F171">
        <v>89.2</v>
      </c>
    </row>
    <row r="172" spans="1:6">
      <c r="A172">
        <v>5230</v>
      </c>
      <c r="B172" t="s">
        <v>450</v>
      </c>
      <c r="C172">
        <v>52.4</v>
      </c>
      <c r="D172" t="e">
        <f>VLOOKUP(A172,收盤價!A:B,3,0)</f>
        <v>#REF!</v>
      </c>
      <c r="E172" s="85">
        <v>7.6335877862595422E-2</v>
      </c>
      <c r="F172">
        <v>89.13</v>
      </c>
    </row>
    <row r="173" spans="1:6">
      <c r="A173">
        <v>2466</v>
      </c>
      <c r="B173" t="s">
        <v>1518</v>
      </c>
      <c r="C173">
        <v>30.8</v>
      </c>
      <c r="D173" t="e">
        <f>VLOOKUP(A173,收盤價!A:B,3,0)</f>
        <v>#REF!</v>
      </c>
      <c r="E173" s="85">
        <v>7.46753246753247E-2</v>
      </c>
      <c r="F173">
        <v>89.07</v>
      </c>
    </row>
    <row r="174" spans="1:6">
      <c r="A174">
        <v>2327</v>
      </c>
      <c r="B174" t="s">
        <v>1415</v>
      </c>
      <c r="C174">
        <v>48.4</v>
      </c>
      <c r="D174">
        <f>VLOOKUP(A174,收盤價!A:C,3,0)</f>
        <v>52.8</v>
      </c>
      <c r="E174" s="85">
        <v>7.4380165289256228E-2</v>
      </c>
      <c r="F174">
        <v>89.01</v>
      </c>
    </row>
    <row r="175" spans="1:6">
      <c r="A175">
        <v>3573</v>
      </c>
      <c r="B175" t="s">
        <v>1753</v>
      </c>
      <c r="C175">
        <v>16.95</v>
      </c>
      <c r="D175" t="e">
        <f>VLOOKUP(A175,收盤價!A:B,3,0)</f>
        <v>#REF!</v>
      </c>
      <c r="E175" s="85">
        <v>7.3746312684365781E-2</v>
      </c>
      <c r="F175">
        <v>88.95</v>
      </c>
    </row>
    <row r="176" spans="1:6">
      <c r="A176">
        <v>9105</v>
      </c>
      <c r="B176" t="s">
        <v>1982</v>
      </c>
      <c r="C176">
        <v>3.41</v>
      </c>
      <c r="D176" t="e">
        <f>VLOOKUP(A176,收盤價!A:B,3,0)</f>
        <v>#REF!</v>
      </c>
      <c r="E176" s="85">
        <v>7.3313782991202336E-2</v>
      </c>
      <c r="F176">
        <v>88.88</v>
      </c>
    </row>
    <row r="177" spans="1:6">
      <c r="A177">
        <v>4126</v>
      </c>
      <c r="B177" t="s">
        <v>407</v>
      </c>
      <c r="C177">
        <v>61.5</v>
      </c>
      <c r="D177" t="e">
        <f>VLOOKUP(A177,收盤價!A:B,3,0)</f>
        <v>#REF!</v>
      </c>
      <c r="E177" s="85">
        <v>7.3170731707317069E-2</v>
      </c>
      <c r="F177">
        <v>88.82</v>
      </c>
    </row>
    <row r="178" spans="1:6">
      <c r="A178">
        <v>1304</v>
      </c>
      <c r="B178" t="s">
        <v>1178</v>
      </c>
      <c r="C178">
        <v>13</v>
      </c>
      <c r="D178">
        <f>VLOOKUP(A178,收盤價!A:C,3,0)</f>
        <v>13.35</v>
      </c>
      <c r="E178" s="85">
        <v>7.3076923076923025E-2</v>
      </c>
      <c r="F178">
        <v>88.76</v>
      </c>
    </row>
    <row r="179" spans="1:6">
      <c r="A179">
        <v>2374</v>
      </c>
      <c r="B179" t="s">
        <v>1450</v>
      </c>
      <c r="C179">
        <v>16.600000000000001</v>
      </c>
      <c r="D179" t="e">
        <f>VLOOKUP(A179,收盤價!A:B,3,0)</f>
        <v>#REF!</v>
      </c>
      <c r="E179" s="85">
        <v>7.2289156626505979E-2</v>
      </c>
      <c r="F179">
        <v>88.69</v>
      </c>
    </row>
    <row r="180" spans="1:6">
      <c r="A180">
        <v>3287</v>
      </c>
      <c r="B180" t="s">
        <v>2103</v>
      </c>
      <c r="C180">
        <v>8.58</v>
      </c>
      <c r="D180" t="e">
        <f>VLOOKUP(A180,收盤價!A:B,3,0)</f>
        <v>#REF!</v>
      </c>
      <c r="E180" s="85">
        <v>7.2261072261072173E-2</v>
      </c>
      <c r="F180">
        <v>88.63</v>
      </c>
    </row>
    <row r="181" spans="1:6">
      <c r="A181">
        <v>2608</v>
      </c>
      <c r="B181" t="s">
        <v>1577</v>
      </c>
      <c r="C181">
        <v>35.65</v>
      </c>
      <c r="D181" t="e">
        <f>VLOOKUP(A181,收盤價!A:B,3,0)</f>
        <v>#REF!</v>
      </c>
      <c r="E181" s="85">
        <v>7.1528751753155803E-2</v>
      </c>
      <c r="F181">
        <v>88.57</v>
      </c>
    </row>
    <row r="182" spans="1:6">
      <c r="A182">
        <v>5317</v>
      </c>
      <c r="B182" t="s">
        <v>462</v>
      </c>
      <c r="C182">
        <v>13</v>
      </c>
      <c r="D182" t="e">
        <f>VLOOKUP(A182,收盤價!A:B,3,0)</f>
        <v>#REF!</v>
      </c>
      <c r="E182" s="85">
        <v>6.9230769230769262E-2</v>
      </c>
      <c r="F182">
        <v>88.5</v>
      </c>
    </row>
    <row r="183" spans="1:6">
      <c r="A183">
        <v>3018</v>
      </c>
      <c r="B183" t="s">
        <v>1662</v>
      </c>
      <c r="C183">
        <v>15.7</v>
      </c>
      <c r="D183" t="e">
        <f>VLOOKUP(A183,收盤價!A:B,3,0)</f>
        <v>#REF!</v>
      </c>
      <c r="E183" s="85">
        <v>6.68789808917198E-2</v>
      </c>
      <c r="F183">
        <v>88.44</v>
      </c>
    </row>
    <row r="184" spans="1:6">
      <c r="A184">
        <v>4103</v>
      </c>
      <c r="B184" t="s">
        <v>2166</v>
      </c>
      <c r="C184">
        <v>72.2</v>
      </c>
      <c r="D184" t="e">
        <f>VLOOKUP(A184,收盤價!A:B,3,0)</f>
        <v>#REF!</v>
      </c>
      <c r="E184" s="85">
        <v>6.6481994459833757E-2</v>
      </c>
      <c r="F184">
        <v>88.38</v>
      </c>
    </row>
    <row r="185" spans="1:6">
      <c r="A185">
        <v>3501</v>
      </c>
      <c r="B185" t="s">
        <v>1738</v>
      </c>
      <c r="C185">
        <v>43.95</v>
      </c>
      <c r="D185" t="e">
        <f>VLOOKUP(A185,收盤價!A:B,3,0)</f>
        <v>#REF!</v>
      </c>
      <c r="E185" s="85">
        <v>6.4846416382252428E-2</v>
      </c>
      <c r="F185">
        <v>88.31</v>
      </c>
    </row>
    <row r="186" spans="1:6">
      <c r="A186">
        <v>2433</v>
      </c>
      <c r="B186" t="s">
        <v>1491</v>
      </c>
      <c r="C186">
        <v>43</v>
      </c>
      <c r="D186" t="e">
        <f>VLOOKUP(A186,收盤價!A:B,3,0)</f>
        <v>#REF!</v>
      </c>
      <c r="E186" s="85">
        <v>6.3953488372093026E-2</v>
      </c>
      <c r="F186">
        <v>88.25</v>
      </c>
    </row>
    <row r="187" spans="1:6">
      <c r="A187">
        <v>1702</v>
      </c>
      <c r="B187" t="s">
        <v>1303</v>
      </c>
      <c r="C187">
        <v>67.5</v>
      </c>
      <c r="D187">
        <f>VLOOKUP(A187,收盤價!A:C,3,0)</f>
        <v>71.8</v>
      </c>
      <c r="E187" s="85">
        <v>6.3703703703703665E-2</v>
      </c>
      <c r="F187">
        <v>88.19</v>
      </c>
    </row>
    <row r="188" spans="1:6">
      <c r="A188">
        <v>6169</v>
      </c>
      <c r="B188" t="s">
        <v>2338</v>
      </c>
      <c r="C188">
        <v>17.399999999999999</v>
      </c>
      <c r="D188" t="e">
        <f>VLOOKUP(A188,收盤價!A:B,3,0)</f>
        <v>#REF!</v>
      </c>
      <c r="E188" s="85">
        <v>6.321839080459779E-2</v>
      </c>
      <c r="F188">
        <v>88.12</v>
      </c>
    </row>
    <row r="189" spans="1:6">
      <c r="A189">
        <v>9958</v>
      </c>
      <c r="B189" t="s">
        <v>2039</v>
      </c>
      <c r="C189">
        <v>9.34</v>
      </c>
      <c r="D189" t="e">
        <f>VLOOKUP(A189,收盤價!A:B,3,0)</f>
        <v>#REF!</v>
      </c>
      <c r="E189" s="85">
        <v>6.3169164882226972E-2</v>
      </c>
      <c r="F189">
        <v>88.06</v>
      </c>
    </row>
    <row r="190" spans="1:6">
      <c r="A190">
        <v>4916</v>
      </c>
      <c r="B190" t="s">
        <v>1813</v>
      </c>
      <c r="C190">
        <v>21.4</v>
      </c>
      <c r="D190" t="e">
        <f>VLOOKUP(A190,收盤價!A:B,3,0)</f>
        <v>#REF!</v>
      </c>
      <c r="E190" s="85">
        <v>6.3084112149532787E-2</v>
      </c>
      <c r="F190">
        <v>88</v>
      </c>
    </row>
    <row r="191" spans="1:6">
      <c r="A191">
        <v>4934</v>
      </c>
      <c r="B191" t="s">
        <v>1817</v>
      </c>
      <c r="C191">
        <v>15.95</v>
      </c>
      <c r="D191" t="e">
        <f>VLOOKUP(A191,收盤價!A:B,3,0)</f>
        <v>#REF!</v>
      </c>
      <c r="E191" s="85">
        <v>6.269592476489029E-2</v>
      </c>
      <c r="F191">
        <v>87.93</v>
      </c>
    </row>
    <row r="192" spans="1:6">
      <c r="A192">
        <v>6290</v>
      </c>
      <c r="B192" t="s">
        <v>2370</v>
      </c>
      <c r="C192">
        <v>24.4</v>
      </c>
      <c r="D192" t="e">
        <f>VLOOKUP(A192,收盤價!A:B,3,0)</f>
        <v>#REF!</v>
      </c>
      <c r="E192" s="85">
        <v>6.147540983606558E-2</v>
      </c>
      <c r="F192">
        <v>87.87</v>
      </c>
    </row>
    <row r="193" spans="1:6">
      <c r="A193">
        <v>1301</v>
      </c>
      <c r="B193" t="s">
        <v>1176</v>
      </c>
      <c r="C193">
        <v>72.599999999999994</v>
      </c>
      <c r="D193">
        <f>VLOOKUP(A193,收盤價!A:C,3,0)</f>
        <v>75.099999999999994</v>
      </c>
      <c r="E193" s="85">
        <v>6.0606060606060691E-2</v>
      </c>
      <c r="F193">
        <v>87.81</v>
      </c>
    </row>
    <row r="194" spans="1:6">
      <c r="A194">
        <v>4119</v>
      </c>
      <c r="B194" t="s">
        <v>1787</v>
      </c>
      <c r="C194">
        <v>74.5</v>
      </c>
      <c r="D194" t="e">
        <f>VLOOKUP(A194,收盤價!A:B,3,0)</f>
        <v>#REF!</v>
      </c>
      <c r="E194" s="85">
        <v>5.9060402684563834E-2</v>
      </c>
      <c r="F194">
        <v>87.74</v>
      </c>
    </row>
    <row r="195" spans="1:6">
      <c r="A195">
        <v>8110</v>
      </c>
      <c r="B195" t="s">
        <v>1952</v>
      </c>
      <c r="C195">
        <v>8.5</v>
      </c>
      <c r="D195" t="e">
        <f>VLOOKUP(A195,收盤價!A:B,3,0)</f>
        <v>#REF!</v>
      </c>
      <c r="E195" s="85">
        <v>5.8823529411764705E-2</v>
      </c>
      <c r="F195">
        <v>87.68</v>
      </c>
    </row>
    <row r="196" spans="1:6">
      <c r="A196">
        <v>9910</v>
      </c>
      <c r="B196" t="s">
        <v>2009</v>
      </c>
      <c r="C196">
        <v>179</v>
      </c>
      <c r="D196" t="e">
        <f>VLOOKUP(A196,收盤價!A:B,3,0)</f>
        <v>#REF!</v>
      </c>
      <c r="E196" s="85">
        <v>5.8659217877094973E-2</v>
      </c>
      <c r="F196">
        <v>87.62</v>
      </c>
    </row>
    <row r="197" spans="1:6">
      <c r="A197">
        <v>2363</v>
      </c>
      <c r="B197" t="s">
        <v>1442</v>
      </c>
      <c r="C197">
        <v>6.35</v>
      </c>
      <c r="D197" t="e">
        <f>VLOOKUP(A197,收盤價!A:B,3,0)</f>
        <v>#REF!</v>
      </c>
      <c r="E197" s="85">
        <v>5.5118110236220562E-2</v>
      </c>
      <c r="F197">
        <v>87.56</v>
      </c>
    </row>
    <row r="198" spans="1:6">
      <c r="A198">
        <v>4984</v>
      </c>
      <c r="B198" t="s">
        <v>1827</v>
      </c>
      <c r="C198">
        <v>33</v>
      </c>
      <c r="D198" t="e">
        <f>VLOOKUP(A198,收盤價!A:B,3,0)</f>
        <v>#REF!</v>
      </c>
      <c r="E198" s="85">
        <v>5.454545454545446E-2</v>
      </c>
      <c r="F198">
        <v>87.49</v>
      </c>
    </row>
    <row r="199" spans="1:6">
      <c r="A199">
        <v>8429</v>
      </c>
      <c r="B199" t="s">
        <v>1972</v>
      </c>
      <c r="C199">
        <v>59.3</v>
      </c>
      <c r="D199" t="e">
        <f>VLOOKUP(A199,收盤價!A:B,3,0)</f>
        <v>#REF!</v>
      </c>
      <c r="E199" s="85">
        <v>5.3962900505902245E-2</v>
      </c>
      <c r="F199">
        <v>87.43</v>
      </c>
    </row>
    <row r="200" spans="1:6">
      <c r="A200">
        <v>3540</v>
      </c>
      <c r="B200" t="s">
        <v>2138</v>
      </c>
      <c r="C200">
        <v>13.3</v>
      </c>
      <c r="D200" t="e">
        <f>VLOOKUP(A200,收盤價!A:B,3,0)</f>
        <v>#REF!</v>
      </c>
      <c r="E200" s="85">
        <v>5.2631578947368363E-2</v>
      </c>
      <c r="F200">
        <v>87.37</v>
      </c>
    </row>
    <row r="201" spans="1:6">
      <c r="A201">
        <v>2636</v>
      </c>
      <c r="B201" t="s">
        <v>2061</v>
      </c>
      <c r="C201">
        <v>29.65</v>
      </c>
      <c r="D201" t="e">
        <f>VLOOKUP(A201,收盤價!A:B,3,0)</f>
        <v>#REF!</v>
      </c>
      <c r="E201" s="85">
        <v>5.2276559865092775E-2</v>
      </c>
      <c r="F201">
        <v>87.3</v>
      </c>
    </row>
    <row r="202" spans="1:6">
      <c r="A202">
        <v>3169</v>
      </c>
      <c r="B202" t="s">
        <v>2087</v>
      </c>
      <c r="C202">
        <v>28.8</v>
      </c>
      <c r="D202" t="e">
        <f>VLOOKUP(A202,收盤價!A:B,3,0)</f>
        <v>#REF!</v>
      </c>
      <c r="E202" s="85">
        <v>5.2083333333333329E-2</v>
      </c>
      <c r="F202">
        <v>87.24</v>
      </c>
    </row>
    <row r="203" spans="1:6">
      <c r="A203">
        <v>3303</v>
      </c>
      <c r="B203" t="s">
        <v>358</v>
      </c>
      <c r="C203">
        <v>17.3</v>
      </c>
      <c r="D203" t="e">
        <f>VLOOKUP(A203,收盤價!A:B,3,0)</f>
        <v>#REF!</v>
      </c>
      <c r="E203" s="85">
        <v>5.2023121387283155E-2</v>
      </c>
      <c r="F203">
        <v>87.18</v>
      </c>
    </row>
    <row r="204" spans="1:6">
      <c r="A204">
        <v>3068</v>
      </c>
      <c r="B204" t="s">
        <v>326</v>
      </c>
      <c r="C204">
        <v>30.45</v>
      </c>
      <c r="D204" t="e">
        <f>VLOOKUP(A204,收盤價!A:B,3,0)</f>
        <v>#REF!</v>
      </c>
      <c r="E204" s="85">
        <v>5.0903119868637131E-2</v>
      </c>
      <c r="F204">
        <v>87.11</v>
      </c>
    </row>
    <row r="205" spans="1:6">
      <c r="A205">
        <v>4702</v>
      </c>
      <c r="B205" t="s">
        <v>427</v>
      </c>
      <c r="C205">
        <v>11.9</v>
      </c>
      <c r="D205" t="e">
        <f>VLOOKUP(A205,收盤價!A:B,3,0)</f>
        <v>#REF!</v>
      </c>
      <c r="E205" s="85">
        <v>5.0420168067226857E-2</v>
      </c>
      <c r="F205">
        <v>87.05</v>
      </c>
    </row>
    <row r="206" spans="1:6">
      <c r="A206">
        <v>1325</v>
      </c>
      <c r="B206" t="s">
        <v>1194</v>
      </c>
      <c r="C206">
        <v>19.2</v>
      </c>
      <c r="D206">
        <f>VLOOKUP(A206,收盤價!A:C,3,0)</f>
        <v>20.149999999999999</v>
      </c>
      <c r="E206" s="85">
        <v>4.947916666666663E-2</v>
      </c>
      <c r="F206">
        <v>86.99</v>
      </c>
    </row>
    <row r="207" spans="1:6">
      <c r="A207">
        <v>1319</v>
      </c>
      <c r="B207" t="s">
        <v>1190</v>
      </c>
      <c r="C207">
        <v>32.65</v>
      </c>
      <c r="D207">
        <f>VLOOKUP(A207,收盤價!A:C,3,0)</f>
        <v>35.6</v>
      </c>
      <c r="E207" s="85">
        <v>4.9004594180704485E-2</v>
      </c>
      <c r="F207">
        <v>86.92</v>
      </c>
    </row>
    <row r="208" spans="1:6">
      <c r="A208">
        <v>1532</v>
      </c>
      <c r="B208" t="s">
        <v>1271</v>
      </c>
      <c r="C208">
        <v>27.55</v>
      </c>
      <c r="D208">
        <f>VLOOKUP(A208,收盤價!A:C,3,0)</f>
        <v>28.95</v>
      </c>
      <c r="E208" s="85">
        <v>4.9001814882032591E-2</v>
      </c>
      <c r="F208">
        <v>86.86</v>
      </c>
    </row>
    <row r="209" spans="1:6">
      <c r="A209">
        <v>3130</v>
      </c>
      <c r="B209" t="s">
        <v>1705</v>
      </c>
      <c r="C209">
        <v>146</v>
      </c>
      <c r="D209" t="e">
        <f>VLOOKUP(A209,收盤價!A:B,3,0)</f>
        <v>#REF!</v>
      </c>
      <c r="E209" s="85">
        <v>4.7945205479452052E-2</v>
      </c>
      <c r="F209">
        <v>86.8</v>
      </c>
    </row>
    <row r="210" spans="1:6">
      <c r="A210">
        <v>6279</v>
      </c>
      <c r="B210" t="s">
        <v>2367</v>
      </c>
      <c r="C210">
        <v>138</v>
      </c>
      <c r="D210" t="e">
        <f>VLOOKUP(A210,收盤價!A:B,3,0)</f>
        <v>#REF!</v>
      </c>
      <c r="E210" s="85">
        <v>4.710144927536232E-2</v>
      </c>
      <c r="F210">
        <v>86.73</v>
      </c>
    </row>
    <row r="211" spans="1:6">
      <c r="A211">
        <v>3704</v>
      </c>
      <c r="B211" t="s">
        <v>1781</v>
      </c>
      <c r="C211">
        <v>12.75</v>
      </c>
      <c r="D211" t="e">
        <f>VLOOKUP(A211,收盤價!A:B,3,0)</f>
        <v>#REF!</v>
      </c>
      <c r="E211" s="85">
        <v>4.7058823529411736E-2</v>
      </c>
      <c r="F211">
        <v>86.67</v>
      </c>
    </row>
    <row r="212" spans="1:6">
      <c r="A212">
        <v>1308</v>
      </c>
      <c r="B212" t="s">
        <v>1181</v>
      </c>
      <c r="C212">
        <v>18.100000000000001</v>
      </c>
      <c r="D212">
        <f>VLOOKUP(A212,收盤價!A:C,3,0)</f>
        <v>18.55</v>
      </c>
      <c r="E212" s="85">
        <v>4.6961325966850709E-2</v>
      </c>
      <c r="F212">
        <v>86.61</v>
      </c>
    </row>
    <row r="213" spans="1:6">
      <c r="A213">
        <v>4198</v>
      </c>
      <c r="B213" t="s">
        <v>417</v>
      </c>
      <c r="C213">
        <v>37.450000000000003</v>
      </c>
      <c r="D213" t="e">
        <f>VLOOKUP(A213,收盤價!A:B,3,0)</f>
        <v>#REF!</v>
      </c>
      <c r="E213" s="85">
        <v>4.6728971962616821E-2</v>
      </c>
      <c r="F213">
        <v>86.54</v>
      </c>
    </row>
    <row r="214" spans="1:6">
      <c r="A214">
        <v>5481</v>
      </c>
      <c r="B214" t="s">
        <v>2285</v>
      </c>
      <c r="C214">
        <v>16.100000000000001</v>
      </c>
      <c r="D214" t="e">
        <f>VLOOKUP(A214,收盤價!A:B,3,0)</f>
        <v>#REF!</v>
      </c>
      <c r="E214" s="85">
        <v>4.6583850931677016E-2</v>
      </c>
      <c r="F214">
        <v>86.48</v>
      </c>
    </row>
    <row r="215" spans="1:6">
      <c r="A215">
        <v>2323</v>
      </c>
      <c r="B215" t="s">
        <v>1412</v>
      </c>
      <c r="C215">
        <v>3.66</v>
      </c>
      <c r="D215">
        <f>VLOOKUP(A215,收盤價!A:C,3,0)</f>
        <v>3.84</v>
      </c>
      <c r="E215" s="85">
        <v>4.6448087431693971E-2</v>
      </c>
      <c r="F215">
        <v>86.42</v>
      </c>
    </row>
    <row r="216" spans="1:6">
      <c r="A216">
        <v>5521</v>
      </c>
      <c r="B216" t="s">
        <v>1849</v>
      </c>
      <c r="C216">
        <v>10.8</v>
      </c>
      <c r="D216" t="e">
        <f>VLOOKUP(A216,收盤價!A:B,3,0)</f>
        <v>#REF!</v>
      </c>
      <c r="E216" s="85">
        <v>4.6296296296296294E-2</v>
      </c>
      <c r="F216">
        <v>86.36</v>
      </c>
    </row>
    <row r="217" spans="1:6">
      <c r="A217">
        <v>3230</v>
      </c>
      <c r="B217" t="s">
        <v>2098</v>
      </c>
      <c r="C217">
        <v>6.5</v>
      </c>
      <c r="D217" t="e">
        <f>VLOOKUP(A217,收盤價!A:B,3,0)</f>
        <v>#REF!</v>
      </c>
      <c r="E217" s="85">
        <v>4.6153846153846129E-2</v>
      </c>
      <c r="F217">
        <v>86.29</v>
      </c>
    </row>
    <row r="218" spans="1:6">
      <c r="A218">
        <v>1773</v>
      </c>
      <c r="B218" t="s">
        <v>1334</v>
      </c>
      <c r="C218">
        <v>40.1</v>
      </c>
      <c r="D218">
        <f>VLOOKUP(A218,收盤價!A:C,3,0)</f>
        <v>41.8</v>
      </c>
      <c r="E218" s="85">
        <v>4.6134663341645919E-2</v>
      </c>
      <c r="F218">
        <v>86.23</v>
      </c>
    </row>
    <row r="219" spans="1:6">
      <c r="A219">
        <v>4154</v>
      </c>
      <c r="B219" t="s">
        <v>2180</v>
      </c>
      <c r="C219">
        <v>22.85</v>
      </c>
      <c r="D219" t="e">
        <f>VLOOKUP(A219,收盤價!A:B,3,0)</f>
        <v>#REF!</v>
      </c>
      <c r="E219" s="85">
        <v>4.5951859956236199E-2</v>
      </c>
      <c r="F219">
        <v>86.17</v>
      </c>
    </row>
    <row r="220" spans="1:6">
      <c r="A220">
        <v>3085</v>
      </c>
      <c r="B220" t="s">
        <v>327</v>
      </c>
      <c r="C220">
        <v>7.34</v>
      </c>
      <c r="D220" t="e">
        <f>VLOOKUP(A220,收盤價!A:B,3,0)</f>
        <v>#REF!</v>
      </c>
      <c r="E220" s="85">
        <v>4.4959128065395107E-2</v>
      </c>
      <c r="F220">
        <v>86.1</v>
      </c>
    </row>
    <row r="221" spans="1:6">
      <c r="A221">
        <v>1617</v>
      </c>
      <c r="B221" t="s">
        <v>1299</v>
      </c>
      <c r="C221">
        <v>6.91</v>
      </c>
      <c r="D221">
        <f>VLOOKUP(A221,收盤價!A:C,3,0)</f>
        <v>7.32</v>
      </c>
      <c r="E221" s="85">
        <v>4.4862518089724981E-2</v>
      </c>
      <c r="F221">
        <v>86.04</v>
      </c>
    </row>
    <row r="222" spans="1:6">
      <c r="A222">
        <v>1201</v>
      </c>
      <c r="B222" t="s">
        <v>1156</v>
      </c>
      <c r="C222">
        <v>19.149999999999999</v>
      </c>
      <c r="D222">
        <f>VLOOKUP(A222,收盤價!A:C,3,0)</f>
        <v>20.3</v>
      </c>
      <c r="E222" s="85">
        <v>4.4386422976501382E-2</v>
      </c>
      <c r="F222">
        <v>85.98</v>
      </c>
    </row>
    <row r="223" spans="1:6">
      <c r="A223">
        <v>8409</v>
      </c>
      <c r="B223" t="s">
        <v>2433</v>
      </c>
      <c r="C223">
        <v>24.9</v>
      </c>
      <c r="D223" t="e">
        <f>VLOOKUP(A223,收盤價!A:B,3,0)</f>
        <v>#REF!</v>
      </c>
      <c r="E223" s="85">
        <v>4.4176706827309294E-2</v>
      </c>
      <c r="F223">
        <v>85.91</v>
      </c>
    </row>
    <row r="224" spans="1:6">
      <c r="A224">
        <v>3047</v>
      </c>
      <c r="B224" t="s">
        <v>1689</v>
      </c>
      <c r="C224">
        <v>10.199999999999999</v>
      </c>
      <c r="D224" t="e">
        <f>VLOOKUP(A224,收盤價!A:B,3,0)</f>
        <v>#REF!</v>
      </c>
      <c r="E224" s="85">
        <v>4.4117647058823636E-2</v>
      </c>
      <c r="F224">
        <v>85.85</v>
      </c>
    </row>
    <row r="225" spans="1:6">
      <c r="A225">
        <v>6286</v>
      </c>
      <c r="B225" t="s">
        <v>1921</v>
      </c>
      <c r="C225">
        <v>181.5</v>
      </c>
      <c r="D225" t="e">
        <f>VLOOKUP(A225,收盤價!A:B,3,0)</f>
        <v>#REF!</v>
      </c>
      <c r="E225" s="85">
        <v>4.4077134986225897E-2</v>
      </c>
      <c r="F225">
        <v>85.79</v>
      </c>
    </row>
    <row r="226" spans="1:6">
      <c r="A226">
        <v>2406</v>
      </c>
      <c r="B226" t="s">
        <v>1471</v>
      </c>
      <c r="C226">
        <v>22.7</v>
      </c>
      <c r="D226" t="e">
        <f>VLOOKUP(A226,收盤價!A:B,3,0)</f>
        <v>#REF!</v>
      </c>
      <c r="E226" s="85">
        <v>4.405286343612335E-2</v>
      </c>
      <c r="F226">
        <v>85.72</v>
      </c>
    </row>
    <row r="227" spans="1:6">
      <c r="A227">
        <v>6179</v>
      </c>
      <c r="B227" t="s">
        <v>506</v>
      </c>
      <c r="C227">
        <v>36.9</v>
      </c>
      <c r="D227" t="e">
        <f>VLOOKUP(A227,收盤價!A:B,3,0)</f>
        <v>#REF!</v>
      </c>
      <c r="E227" s="85">
        <v>4.3360433604336085E-2</v>
      </c>
      <c r="F227">
        <v>85.66</v>
      </c>
    </row>
    <row r="228" spans="1:6">
      <c r="A228">
        <v>3583</v>
      </c>
      <c r="B228" t="s">
        <v>1756</v>
      </c>
      <c r="C228">
        <v>58.8</v>
      </c>
      <c r="D228" t="e">
        <f>VLOOKUP(A228,收盤價!A:B,3,0)</f>
        <v>#REF!</v>
      </c>
      <c r="E228" s="85">
        <v>4.2517006802721087E-2</v>
      </c>
      <c r="F228">
        <v>85.6</v>
      </c>
    </row>
    <row r="229" spans="1:6">
      <c r="A229">
        <v>8163</v>
      </c>
      <c r="B229" t="s">
        <v>1957</v>
      </c>
      <c r="C229">
        <v>16.75</v>
      </c>
      <c r="D229" t="e">
        <f>VLOOKUP(A229,收盤價!A:B,3,0)</f>
        <v>#REF!</v>
      </c>
      <c r="E229" s="85">
        <v>4.1791044776119363E-2</v>
      </c>
      <c r="F229">
        <v>85.53</v>
      </c>
    </row>
    <row r="230" spans="1:6">
      <c r="A230">
        <v>1503</v>
      </c>
      <c r="B230" t="s">
        <v>1250</v>
      </c>
      <c r="C230">
        <v>38.4</v>
      </c>
      <c r="D230">
        <f>VLOOKUP(A230,收盤價!A:C,3,0)</f>
        <v>39.9</v>
      </c>
      <c r="E230" s="85">
        <v>4.1666666666666706E-2</v>
      </c>
      <c r="F230">
        <v>85.47</v>
      </c>
    </row>
    <row r="231" spans="1:6">
      <c r="A231">
        <v>1307</v>
      </c>
      <c r="B231" t="s">
        <v>1180</v>
      </c>
      <c r="C231">
        <v>43.5</v>
      </c>
      <c r="D231">
        <f>VLOOKUP(A231,收盤價!A:C,3,0)</f>
        <v>43.2</v>
      </c>
      <c r="E231" s="85">
        <v>4.1379310344827523E-2</v>
      </c>
      <c r="F231">
        <v>85.41</v>
      </c>
    </row>
    <row r="232" spans="1:6">
      <c r="A232">
        <v>2308</v>
      </c>
      <c r="B232" t="s">
        <v>1404</v>
      </c>
      <c r="C232">
        <v>158</v>
      </c>
      <c r="D232">
        <f>VLOOKUP(A232,收盤價!A:C,3,0)</f>
        <v>163</v>
      </c>
      <c r="E232" s="85">
        <v>4.1139240506329111E-2</v>
      </c>
      <c r="F232">
        <v>85.34</v>
      </c>
    </row>
    <row r="233" spans="1:6">
      <c r="A233">
        <v>4153</v>
      </c>
      <c r="B233" t="s">
        <v>410</v>
      </c>
      <c r="C233">
        <v>83</v>
      </c>
      <c r="D233" t="e">
        <f>VLOOKUP(A233,收盤價!A:B,3,0)</f>
        <v>#REF!</v>
      </c>
      <c r="E233" s="85">
        <v>4.0963855421686818E-2</v>
      </c>
      <c r="F233">
        <v>85.28</v>
      </c>
    </row>
    <row r="234" spans="1:6">
      <c r="A234">
        <v>9940</v>
      </c>
      <c r="B234" t="s">
        <v>2031</v>
      </c>
      <c r="C234">
        <v>27.2</v>
      </c>
      <c r="D234" t="e">
        <f>VLOOKUP(A234,收盤價!A:B,3,0)</f>
        <v>#REF!</v>
      </c>
      <c r="E234" s="85">
        <v>4.0441176470588286E-2</v>
      </c>
      <c r="F234">
        <v>85.22</v>
      </c>
    </row>
    <row r="235" spans="1:6">
      <c r="A235">
        <v>5309</v>
      </c>
      <c r="B235" t="s">
        <v>2258</v>
      </c>
      <c r="C235">
        <v>14.9</v>
      </c>
      <c r="D235" t="e">
        <f>VLOOKUP(A235,收盤價!A:B,3,0)</f>
        <v>#REF!</v>
      </c>
      <c r="E235" s="85">
        <v>4.0268456375838903E-2</v>
      </c>
      <c r="F235">
        <v>85.15</v>
      </c>
    </row>
    <row r="236" spans="1:6">
      <c r="A236">
        <v>1525</v>
      </c>
      <c r="B236" t="s">
        <v>1264</v>
      </c>
      <c r="C236">
        <v>77.5</v>
      </c>
      <c r="D236">
        <f>VLOOKUP(A236,收盤價!A:C,3,0)</f>
        <v>85.6</v>
      </c>
      <c r="E236" s="85">
        <v>3.9999999999999925E-2</v>
      </c>
      <c r="F236">
        <v>85.09</v>
      </c>
    </row>
    <row r="237" spans="1:6">
      <c r="A237">
        <v>8068</v>
      </c>
      <c r="B237" t="s">
        <v>545</v>
      </c>
      <c r="C237">
        <v>15.2</v>
      </c>
      <c r="D237" t="e">
        <f>VLOOKUP(A237,收盤價!A:B,3,0)</f>
        <v>#REF!</v>
      </c>
      <c r="E237" s="85">
        <v>3.9473684210526411E-2</v>
      </c>
      <c r="F237">
        <v>85.03</v>
      </c>
    </row>
    <row r="238" spans="1:6">
      <c r="A238">
        <v>3532</v>
      </c>
      <c r="B238" t="s">
        <v>1744</v>
      </c>
      <c r="C238">
        <v>38.299999999999997</v>
      </c>
      <c r="D238" t="e">
        <f>VLOOKUP(A238,收盤價!A:B,3,0)</f>
        <v>#REF!</v>
      </c>
      <c r="E238" s="85">
        <v>3.91644908616188E-2</v>
      </c>
      <c r="F238">
        <v>84.97</v>
      </c>
    </row>
    <row r="239" spans="1:6">
      <c r="A239">
        <v>3373</v>
      </c>
      <c r="B239" t="s">
        <v>365</v>
      </c>
      <c r="C239">
        <v>20.8</v>
      </c>
      <c r="D239" t="e">
        <f>VLOOKUP(A239,收盤價!A:B,3,0)</f>
        <v>#REF!</v>
      </c>
      <c r="E239" s="85">
        <v>3.8461538461538491E-2</v>
      </c>
      <c r="F239">
        <v>84.9</v>
      </c>
    </row>
    <row r="240" spans="1:6">
      <c r="A240">
        <v>1216</v>
      </c>
      <c r="B240" t="s">
        <v>1161</v>
      </c>
      <c r="C240">
        <v>54.7</v>
      </c>
      <c r="D240">
        <f>VLOOKUP(A240,收盤價!A:C,3,0)</f>
        <v>56.9</v>
      </c>
      <c r="E240" s="85">
        <v>3.8391224862888373E-2</v>
      </c>
      <c r="F240">
        <v>84.84</v>
      </c>
    </row>
    <row r="241" spans="1:6">
      <c r="A241">
        <v>8941</v>
      </c>
      <c r="B241" t="s">
        <v>576</v>
      </c>
      <c r="C241">
        <v>93.8</v>
      </c>
      <c r="D241" t="e">
        <f>VLOOKUP(A241,收盤價!A:B,3,0)</f>
        <v>#REF!</v>
      </c>
      <c r="E241" s="85">
        <v>3.7313432835820899E-2</v>
      </c>
      <c r="F241">
        <v>84.78</v>
      </c>
    </row>
    <row r="242" spans="1:6">
      <c r="A242">
        <v>1324</v>
      </c>
      <c r="B242" t="s">
        <v>1193</v>
      </c>
      <c r="C242">
        <v>11.05</v>
      </c>
      <c r="D242">
        <f>VLOOKUP(A242,收盤價!A:C,3,0)</f>
        <v>11.75</v>
      </c>
      <c r="E242" s="85">
        <v>3.6199095022624306E-2</v>
      </c>
      <c r="F242">
        <v>84.71</v>
      </c>
    </row>
    <row r="243" spans="1:6">
      <c r="A243">
        <v>2478</v>
      </c>
      <c r="B243" t="s">
        <v>1526</v>
      </c>
      <c r="C243">
        <v>14</v>
      </c>
      <c r="D243" t="e">
        <f>VLOOKUP(A243,收盤價!A:B,3,0)</f>
        <v>#REF!</v>
      </c>
      <c r="E243" s="85">
        <v>3.5714285714285712E-2</v>
      </c>
      <c r="F243">
        <v>84.65</v>
      </c>
    </row>
    <row r="244" spans="1:6">
      <c r="A244">
        <v>4109</v>
      </c>
      <c r="B244" t="s">
        <v>2169</v>
      </c>
      <c r="C244">
        <v>24.35</v>
      </c>
      <c r="D244" t="e">
        <f>VLOOKUP(A244,收盤價!A:B,3,0)</f>
        <v>#REF!</v>
      </c>
      <c r="E244" s="85">
        <v>3.4907597535934205E-2</v>
      </c>
      <c r="F244">
        <v>84.59</v>
      </c>
    </row>
    <row r="245" spans="1:6">
      <c r="A245">
        <v>3533</v>
      </c>
      <c r="B245" t="s">
        <v>1745</v>
      </c>
      <c r="C245">
        <v>101</v>
      </c>
      <c r="D245" t="e">
        <f>VLOOKUP(A245,收盤價!A:B,3,0)</f>
        <v>#REF!</v>
      </c>
      <c r="E245" s="85">
        <v>3.4653465346534656E-2</v>
      </c>
      <c r="F245">
        <v>84.52</v>
      </c>
    </row>
    <row r="246" spans="1:6">
      <c r="A246">
        <v>1735</v>
      </c>
      <c r="B246" t="s">
        <v>1330</v>
      </c>
      <c r="C246">
        <v>11.55</v>
      </c>
      <c r="D246">
        <f>VLOOKUP(A246,收盤價!A:C,3,0)</f>
        <v>11.95</v>
      </c>
      <c r="E246" s="85">
        <v>3.4632034632034507E-2</v>
      </c>
      <c r="F246">
        <v>84.46</v>
      </c>
    </row>
    <row r="247" spans="1:6">
      <c r="A247">
        <v>8432</v>
      </c>
      <c r="B247" t="s">
        <v>562</v>
      </c>
      <c r="C247">
        <v>46.4</v>
      </c>
      <c r="D247" t="e">
        <f>VLOOKUP(A247,收盤價!A:B,3,0)</f>
        <v>#REF!</v>
      </c>
      <c r="E247" s="85">
        <v>3.4482758620689689E-2</v>
      </c>
      <c r="F247">
        <v>84.4</v>
      </c>
    </row>
    <row r="248" spans="1:6">
      <c r="A248">
        <v>3596</v>
      </c>
      <c r="B248" t="s">
        <v>1761</v>
      </c>
      <c r="C248">
        <v>29.1</v>
      </c>
      <c r="D248" t="e">
        <f>VLOOKUP(A248,收盤價!A:B,3,0)</f>
        <v>#REF!</v>
      </c>
      <c r="E248" s="85">
        <v>3.4364261168384876E-2</v>
      </c>
      <c r="F248">
        <v>84.33</v>
      </c>
    </row>
    <row r="249" spans="1:6">
      <c r="A249">
        <v>3003</v>
      </c>
      <c r="B249" t="s">
        <v>1651</v>
      </c>
      <c r="C249">
        <v>38</v>
      </c>
      <c r="D249" t="e">
        <f>VLOOKUP(A249,收盤價!A:B,3,0)</f>
        <v>#REF!</v>
      </c>
      <c r="E249" s="85">
        <v>3.42105263157894E-2</v>
      </c>
      <c r="F249">
        <v>84.27</v>
      </c>
    </row>
    <row r="250" spans="1:6">
      <c r="A250">
        <v>3050</v>
      </c>
      <c r="B250" t="s">
        <v>1692</v>
      </c>
      <c r="C250">
        <v>7.35</v>
      </c>
      <c r="D250" t="e">
        <f>VLOOKUP(A250,收盤價!A:B,3,0)</f>
        <v>#REF!</v>
      </c>
      <c r="E250" s="85">
        <v>3.4013605442176874E-2</v>
      </c>
      <c r="F250">
        <v>84.21</v>
      </c>
    </row>
    <row r="251" spans="1:6">
      <c r="A251">
        <v>1570</v>
      </c>
      <c r="B251" t="s">
        <v>2044</v>
      </c>
      <c r="C251">
        <v>16.3</v>
      </c>
      <c r="D251">
        <f>VLOOKUP(A251,收盤價!A:C,3,0)</f>
        <v>17.100000000000001</v>
      </c>
      <c r="E251" s="85">
        <v>3.3742331288343599E-2</v>
      </c>
      <c r="F251">
        <v>84.14</v>
      </c>
    </row>
    <row r="252" spans="1:6">
      <c r="A252">
        <v>6123</v>
      </c>
      <c r="B252" t="s">
        <v>2322</v>
      </c>
      <c r="C252">
        <v>23.9</v>
      </c>
      <c r="D252" t="e">
        <f>VLOOKUP(A252,收盤價!A:B,3,0)</f>
        <v>#REF!</v>
      </c>
      <c r="E252" s="85">
        <v>3.3472803347280367E-2</v>
      </c>
      <c r="F252">
        <v>84.08</v>
      </c>
    </row>
    <row r="253" spans="1:6">
      <c r="A253">
        <v>1110</v>
      </c>
      <c r="B253" t="s">
        <v>1155</v>
      </c>
      <c r="C253">
        <v>15.1</v>
      </c>
      <c r="D253">
        <f>VLOOKUP(A253,收盤價!A:C,3,0)</f>
        <v>15.7</v>
      </c>
      <c r="E253" s="85">
        <v>3.3112582781456956E-2</v>
      </c>
      <c r="F253">
        <v>84.02</v>
      </c>
    </row>
    <row r="254" spans="1:6">
      <c r="A254">
        <v>2528</v>
      </c>
      <c r="B254" t="s">
        <v>1556</v>
      </c>
      <c r="C254">
        <v>9.48</v>
      </c>
      <c r="D254" t="e">
        <f>VLOOKUP(A254,收盤價!A:B,3,0)</f>
        <v>#REF!</v>
      </c>
      <c r="E254" s="85">
        <v>3.2700421940928134E-2</v>
      </c>
      <c r="F254">
        <v>83.95</v>
      </c>
    </row>
    <row r="255" spans="1:6">
      <c r="A255">
        <v>8034</v>
      </c>
      <c r="B255" t="s">
        <v>2383</v>
      </c>
      <c r="C255">
        <v>6.14</v>
      </c>
      <c r="D255" t="e">
        <f>VLOOKUP(A255,收盤價!A:B,3,0)</f>
        <v>#REF!</v>
      </c>
      <c r="E255" s="85">
        <v>3.2573289902280159E-2</v>
      </c>
      <c r="F255">
        <v>83.89</v>
      </c>
    </row>
    <row r="256" spans="1:6">
      <c r="A256">
        <v>1906</v>
      </c>
      <c r="B256" t="s">
        <v>1348</v>
      </c>
      <c r="C256">
        <v>8.0399999999999991</v>
      </c>
      <c r="D256">
        <f>VLOOKUP(A256,收盤價!A:C,3,0)</f>
        <v>8.25</v>
      </c>
      <c r="E256" s="85">
        <v>3.2338308457711643E-2</v>
      </c>
      <c r="F256">
        <v>83.83</v>
      </c>
    </row>
    <row r="257" spans="1:6">
      <c r="A257">
        <v>2476</v>
      </c>
      <c r="B257" t="s">
        <v>1524</v>
      </c>
      <c r="C257">
        <v>22</v>
      </c>
      <c r="D257" t="e">
        <f>VLOOKUP(A257,收盤價!A:B,3,0)</f>
        <v>#REF!</v>
      </c>
      <c r="E257" s="85">
        <v>3.1818181818181787E-2</v>
      </c>
      <c r="F257">
        <v>83.77</v>
      </c>
    </row>
    <row r="258" spans="1:6">
      <c r="A258">
        <v>4133</v>
      </c>
      <c r="B258" t="s">
        <v>1788</v>
      </c>
      <c r="C258">
        <v>30.2</v>
      </c>
      <c r="D258" t="e">
        <f>VLOOKUP(A258,收盤價!A:B,3,0)</f>
        <v>#REF!</v>
      </c>
      <c r="E258" s="85">
        <v>3.1456953642384086E-2</v>
      </c>
      <c r="F258">
        <v>83.7</v>
      </c>
    </row>
    <row r="259" spans="1:6">
      <c r="A259">
        <v>4942</v>
      </c>
      <c r="B259" t="s">
        <v>1820</v>
      </c>
      <c r="C259">
        <v>22.75</v>
      </c>
      <c r="D259" t="e">
        <f>VLOOKUP(A259,收盤價!A:B,3,0)</f>
        <v>#REF!</v>
      </c>
      <c r="E259" s="85">
        <v>3.076923076923074E-2</v>
      </c>
      <c r="F259">
        <v>83.64</v>
      </c>
    </row>
    <row r="260" spans="1:6">
      <c r="A260">
        <v>6221</v>
      </c>
      <c r="B260" t="s">
        <v>515</v>
      </c>
      <c r="C260">
        <v>22.9</v>
      </c>
      <c r="D260" t="e">
        <f>VLOOKUP(A260,收盤價!A:B,3,0)</f>
        <v>#REF!</v>
      </c>
      <c r="E260" s="85">
        <v>3.0567685589519777E-2</v>
      </c>
      <c r="F260">
        <v>83.58</v>
      </c>
    </row>
    <row r="261" spans="1:6">
      <c r="A261">
        <v>4426</v>
      </c>
      <c r="B261" t="s">
        <v>1796</v>
      </c>
      <c r="C261">
        <v>164.5</v>
      </c>
      <c r="D261" t="e">
        <f>VLOOKUP(A261,收盤價!A:B,3,0)</f>
        <v>#REF!</v>
      </c>
      <c r="E261" s="85">
        <v>3.0395136778115502E-2</v>
      </c>
      <c r="F261">
        <v>83.51</v>
      </c>
    </row>
    <row r="262" spans="1:6">
      <c r="A262">
        <v>6505</v>
      </c>
      <c r="B262" t="s">
        <v>1937</v>
      </c>
      <c r="C262">
        <v>79.2</v>
      </c>
      <c r="D262" t="e">
        <f>VLOOKUP(A262,收盤價!A:B,3,0)</f>
        <v>#REF!</v>
      </c>
      <c r="E262" s="85">
        <v>3.0303030303030193E-2</v>
      </c>
      <c r="F262">
        <v>83.45</v>
      </c>
    </row>
    <row r="263" spans="1:6">
      <c r="A263">
        <v>1592</v>
      </c>
      <c r="B263" t="s">
        <v>1287</v>
      </c>
      <c r="C263">
        <v>29.9</v>
      </c>
      <c r="D263">
        <f>VLOOKUP(A263,收盤價!A:C,3,0)</f>
        <v>30.3</v>
      </c>
      <c r="E263" s="85">
        <v>3.0100334448160609E-2</v>
      </c>
      <c r="F263">
        <v>83.39</v>
      </c>
    </row>
    <row r="264" spans="1:6">
      <c r="A264">
        <v>3535</v>
      </c>
      <c r="B264" t="s">
        <v>1746</v>
      </c>
      <c r="C264">
        <v>9.52</v>
      </c>
      <c r="D264" t="e">
        <f>VLOOKUP(A264,收盤價!A:B,3,0)</f>
        <v>#REF!</v>
      </c>
      <c r="E264" s="85">
        <v>2.9411764705882474E-2</v>
      </c>
      <c r="F264">
        <v>83.32</v>
      </c>
    </row>
    <row r="265" spans="1:6">
      <c r="A265">
        <v>3663</v>
      </c>
      <c r="B265" t="s">
        <v>2157</v>
      </c>
      <c r="C265">
        <v>18.899999999999999</v>
      </c>
      <c r="D265" t="e">
        <f>VLOOKUP(A265,收盤價!A:B,3,0)</f>
        <v>#REF!</v>
      </c>
      <c r="E265" s="85">
        <v>2.9100529100529141E-2</v>
      </c>
      <c r="F265">
        <v>83.26</v>
      </c>
    </row>
    <row r="266" spans="1:6">
      <c r="A266">
        <v>1565</v>
      </c>
      <c r="B266" t="s">
        <v>2043</v>
      </c>
      <c r="C266">
        <v>491</v>
      </c>
      <c r="D266">
        <f>VLOOKUP(A266,收盤價!A:C,3,0)</f>
        <v>496</v>
      </c>
      <c r="E266" s="85">
        <v>2.8513238289205704E-2</v>
      </c>
      <c r="F266">
        <v>83.2</v>
      </c>
    </row>
    <row r="267" spans="1:6">
      <c r="A267">
        <v>1902</v>
      </c>
      <c r="B267" t="s">
        <v>1345</v>
      </c>
      <c r="C267">
        <v>10.55</v>
      </c>
      <c r="D267">
        <f>VLOOKUP(A267,收盤價!A:C,3,0)</f>
        <v>10.85</v>
      </c>
      <c r="E267" s="85">
        <v>2.843601895734587E-2</v>
      </c>
      <c r="F267">
        <v>83.13</v>
      </c>
    </row>
    <row r="268" spans="1:6">
      <c r="A268">
        <v>5489</v>
      </c>
      <c r="B268" t="s">
        <v>2288</v>
      </c>
      <c r="C268">
        <v>50.1</v>
      </c>
      <c r="D268" t="e">
        <f>VLOOKUP(A268,收盤價!A:B,3,0)</f>
        <v>#REF!</v>
      </c>
      <c r="E268" s="85">
        <v>2.7944111776447077E-2</v>
      </c>
      <c r="F268">
        <v>83.07</v>
      </c>
    </row>
    <row r="269" spans="1:6">
      <c r="A269">
        <v>2377</v>
      </c>
      <c r="B269" t="s">
        <v>1453</v>
      </c>
      <c r="C269">
        <v>31.2</v>
      </c>
      <c r="D269" t="e">
        <f>VLOOKUP(A269,收盤價!A:B,3,0)</f>
        <v>#REF!</v>
      </c>
      <c r="E269" s="85">
        <v>2.7243589743589675E-2</v>
      </c>
      <c r="F269">
        <v>83.01</v>
      </c>
    </row>
    <row r="270" spans="1:6">
      <c r="A270">
        <v>6209</v>
      </c>
      <c r="B270" t="s">
        <v>1899</v>
      </c>
      <c r="C270">
        <v>16.600000000000001</v>
      </c>
      <c r="D270" t="e">
        <f>VLOOKUP(A270,收盤價!A:B,3,0)</f>
        <v>#REF!</v>
      </c>
      <c r="E270" s="85">
        <v>2.7108433734939714E-2</v>
      </c>
      <c r="F270">
        <v>82.94</v>
      </c>
    </row>
    <row r="271" spans="1:6">
      <c r="A271">
        <v>1730</v>
      </c>
      <c r="B271" t="s">
        <v>1325</v>
      </c>
      <c r="C271">
        <v>30.1</v>
      </c>
      <c r="D271">
        <f>VLOOKUP(A271,收盤價!A:C,3,0)</f>
        <v>31.2</v>
      </c>
      <c r="E271" s="85">
        <v>2.65780730897009E-2</v>
      </c>
      <c r="F271">
        <v>82.88</v>
      </c>
    </row>
    <row r="272" spans="1:6">
      <c r="A272">
        <v>3523</v>
      </c>
      <c r="B272" t="s">
        <v>2134</v>
      </c>
      <c r="C272">
        <v>21</v>
      </c>
      <c r="D272" t="e">
        <f>VLOOKUP(A272,收盤價!A:B,3,0)</f>
        <v>#REF!</v>
      </c>
      <c r="E272" s="85">
        <v>2.6190476190476226E-2</v>
      </c>
      <c r="F272">
        <v>82.82</v>
      </c>
    </row>
    <row r="273" spans="1:6">
      <c r="A273">
        <v>3317</v>
      </c>
      <c r="B273" t="s">
        <v>2110</v>
      </c>
      <c r="C273">
        <v>11.85</v>
      </c>
      <c r="D273" t="e">
        <f>VLOOKUP(A273,收盤價!A:B,3,0)</f>
        <v>#REF!</v>
      </c>
      <c r="E273" s="85">
        <v>2.5316455696202594E-2</v>
      </c>
      <c r="F273">
        <v>82.75</v>
      </c>
    </row>
    <row r="274" spans="1:6">
      <c r="A274">
        <v>2428</v>
      </c>
      <c r="B274" t="s">
        <v>1487</v>
      </c>
      <c r="C274">
        <v>42.85</v>
      </c>
      <c r="D274" t="e">
        <f>VLOOKUP(A274,收盤價!A:B,3,0)</f>
        <v>#REF!</v>
      </c>
      <c r="E274" s="85">
        <v>2.4504084014002267E-2</v>
      </c>
      <c r="F274">
        <v>82.69</v>
      </c>
    </row>
    <row r="275" spans="1:6">
      <c r="A275">
        <v>3289</v>
      </c>
      <c r="B275" t="s">
        <v>2105</v>
      </c>
      <c r="C275">
        <v>89.3</v>
      </c>
      <c r="D275" t="e">
        <f>VLOOKUP(A275,收盤價!A:B,3,0)</f>
        <v>#REF!</v>
      </c>
      <c r="E275" s="85">
        <v>2.3516237402015774E-2</v>
      </c>
      <c r="F275">
        <v>82.63</v>
      </c>
    </row>
    <row r="276" spans="1:6">
      <c r="A276">
        <v>6153</v>
      </c>
      <c r="B276" t="s">
        <v>1879</v>
      </c>
      <c r="C276">
        <v>25.55</v>
      </c>
      <c r="D276" t="e">
        <f>VLOOKUP(A276,收盤價!A:B,3,0)</f>
        <v>#REF!</v>
      </c>
      <c r="E276" s="85">
        <v>2.3483365949119289E-2</v>
      </c>
      <c r="F276">
        <v>82.56</v>
      </c>
    </row>
    <row r="277" spans="1:6">
      <c r="A277">
        <v>1788</v>
      </c>
      <c r="B277" t="s">
        <v>2054</v>
      </c>
      <c r="C277">
        <v>87.9</v>
      </c>
      <c r="D277">
        <f>VLOOKUP(A277,收盤價!A:C,3,0)</f>
        <v>90</v>
      </c>
      <c r="E277" s="85">
        <v>2.2753128555176336E-2</v>
      </c>
      <c r="F277">
        <v>82.5</v>
      </c>
    </row>
    <row r="278" spans="1:6">
      <c r="A278">
        <v>2376</v>
      </c>
      <c r="B278" t="s">
        <v>1452</v>
      </c>
      <c r="C278">
        <v>31.3</v>
      </c>
      <c r="D278" t="e">
        <f>VLOOKUP(A278,收盤價!A:B,3,0)</f>
        <v>#REF!</v>
      </c>
      <c r="E278" s="85">
        <v>2.2364217252396144E-2</v>
      </c>
      <c r="F278">
        <v>82.44</v>
      </c>
    </row>
    <row r="279" spans="1:6">
      <c r="A279">
        <v>6180</v>
      </c>
      <c r="B279" t="s">
        <v>2341</v>
      </c>
      <c r="C279">
        <v>40.299999999999997</v>
      </c>
      <c r="D279" t="e">
        <f>VLOOKUP(A279,收盤價!A:B,3,0)</f>
        <v>#REF!</v>
      </c>
      <c r="E279" s="85">
        <v>2.2332506203474087E-2</v>
      </c>
      <c r="F279">
        <v>82.38</v>
      </c>
    </row>
    <row r="280" spans="1:6">
      <c r="A280">
        <v>1457</v>
      </c>
      <c r="B280" t="s">
        <v>1232</v>
      </c>
      <c r="C280">
        <v>13.7</v>
      </c>
      <c r="D280">
        <f>VLOOKUP(A280,收盤價!A:C,3,0)</f>
        <v>14</v>
      </c>
      <c r="E280" s="85">
        <v>2.1897810218978155E-2</v>
      </c>
      <c r="F280">
        <v>82.31</v>
      </c>
    </row>
    <row r="281" spans="1:6">
      <c r="A281">
        <v>2108</v>
      </c>
      <c r="B281" t="s">
        <v>1387</v>
      </c>
      <c r="C281">
        <v>27.7</v>
      </c>
      <c r="D281">
        <f>VLOOKUP(A281,收盤價!A:C,3,0)</f>
        <v>28.45</v>
      </c>
      <c r="E281" s="85">
        <v>2.1660649819494636E-2</v>
      </c>
      <c r="F281">
        <v>82.25</v>
      </c>
    </row>
    <row r="282" spans="1:6">
      <c r="A282">
        <v>5284</v>
      </c>
      <c r="B282" t="s">
        <v>2255</v>
      </c>
      <c r="C282">
        <v>57.1</v>
      </c>
      <c r="D282" t="e">
        <f>VLOOKUP(A282,收盤價!A:B,3,0)</f>
        <v>#REF!</v>
      </c>
      <c r="E282" s="85">
        <v>2.1015761821365948E-2</v>
      </c>
      <c r="F282">
        <v>82.19</v>
      </c>
    </row>
    <row r="283" spans="1:6">
      <c r="A283">
        <v>1710</v>
      </c>
      <c r="B283" t="s">
        <v>1308</v>
      </c>
      <c r="C283">
        <v>23.95</v>
      </c>
      <c r="D283">
        <f>VLOOKUP(A283,收盤價!A:C,3,0)</f>
        <v>24.75</v>
      </c>
      <c r="E283" s="85">
        <v>2.0876826722338204E-2</v>
      </c>
      <c r="F283">
        <v>82.12</v>
      </c>
    </row>
    <row r="284" spans="1:6">
      <c r="A284">
        <v>3630</v>
      </c>
      <c r="B284" t="s">
        <v>396</v>
      </c>
      <c r="C284">
        <v>19.2</v>
      </c>
      <c r="D284" t="e">
        <f>VLOOKUP(A284,收盤價!A:B,3,0)</f>
        <v>#REF!</v>
      </c>
      <c r="E284" s="85">
        <v>2.0833333333333447E-2</v>
      </c>
      <c r="F284">
        <v>82.06</v>
      </c>
    </row>
    <row r="285" spans="1:6">
      <c r="A285">
        <v>5345</v>
      </c>
      <c r="B285" t="s">
        <v>464</v>
      </c>
      <c r="C285">
        <v>9.6199999999999992</v>
      </c>
      <c r="D285" t="e">
        <f>VLOOKUP(A285,收盤價!A:B,3,0)</f>
        <v>#REF!</v>
      </c>
      <c r="E285" s="85">
        <v>2.0790020790020902E-2</v>
      </c>
      <c r="F285">
        <v>82</v>
      </c>
    </row>
    <row r="286" spans="1:6">
      <c r="A286">
        <v>6150</v>
      </c>
      <c r="B286" t="s">
        <v>2334</v>
      </c>
      <c r="C286">
        <v>7.28</v>
      </c>
      <c r="D286" t="e">
        <f>VLOOKUP(A286,收盤價!A:B,3,0)</f>
        <v>#REF!</v>
      </c>
      <c r="E286" s="85">
        <v>2.0604395604395531E-2</v>
      </c>
      <c r="F286">
        <v>81.93</v>
      </c>
    </row>
    <row r="287" spans="1:6">
      <c r="A287">
        <v>1467</v>
      </c>
      <c r="B287" t="s">
        <v>1239</v>
      </c>
      <c r="C287">
        <v>13.55</v>
      </c>
      <c r="D287">
        <f>VLOOKUP(A287,收盤價!A:C,3,0)</f>
        <v>13.7</v>
      </c>
      <c r="E287" s="85">
        <v>1.8450184501845018E-2</v>
      </c>
      <c r="F287">
        <v>81.87</v>
      </c>
    </row>
    <row r="288" spans="1:6">
      <c r="A288">
        <v>5386</v>
      </c>
      <c r="B288" t="s">
        <v>2273</v>
      </c>
      <c r="C288">
        <v>27.1</v>
      </c>
      <c r="D288" t="e">
        <f>VLOOKUP(A288,收盤價!A:B,3,0)</f>
        <v>#REF!</v>
      </c>
      <c r="E288" s="85">
        <v>1.8450184501845018E-2</v>
      </c>
      <c r="F288">
        <v>81.81</v>
      </c>
    </row>
    <row r="289" spans="1:6">
      <c r="A289">
        <v>6291</v>
      </c>
      <c r="B289" t="s">
        <v>534</v>
      </c>
      <c r="C289">
        <v>2.8</v>
      </c>
      <c r="D289" t="e">
        <f>VLOOKUP(A289,收盤價!A:B,3,0)</f>
        <v>#REF!</v>
      </c>
      <c r="E289" s="85">
        <v>1.7857142857142953E-2</v>
      </c>
      <c r="F289">
        <v>81.739999999999995</v>
      </c>
    </row>
    <row r="290" spans="1:6">
      <c r="A290">
        <v>3296</v>
      </c>
      <c r="B290" t="s">
        <v>1715</v>
      </c>
      <c r="C290">
        <v>16.899999999999999</v>
      </c>
      <c r="D290" t="e">
        <f>VLOOKUP(A290,收盤價!A:B,3,0)</f>
        <v>#REF!</v>
      </c>
      <c r="E290" s="85">
        <v>1.775147928994087E-2</v>
      </c>
      <c r="F290">
        <v>81.680000000000007</v>
      </c>
    </row>
    <row r="291" spans="1:6">
      <c r="A291">
        <v>1466</v>
      </c>
      <c r="B291" t="s">
        <v>1238</v>
      </c>
      <c r="C291">
        <v>17.149999999999999</v>
      </c>
      <c r="D291">
        <f>VLOOKUP(A291,收盤價!A:C,3,0)</f>
        <v>17</v>
      </c>
      <c r="E291" s="85">
        <v>1.7492711370262433E-2</v>
      </c>
      <c r="F291">
        <v>81.62</v>
      </c>
    </row>
    <row r="292" spans="1:6">
      <c r="A292">
        <v>8942</v>
      </c>
      <c r="B292" t="s">
        <v>2452</v>
      </c>
      <c r="C292">
        <v>91.8</v>
      </c>
      <c r="D292" t="e">
        <f>VLOOKUP(A292,收盤價!A:B,3,0)</f>
        <v>#REF!</v>
      </c>
      <c r="E292" s="85">
        <v>1.7429193899782227E-2</v>
      </c>
      <c r="F292">
        <v>81.55</v>
      </c>
    </row>
    <row r="293" spans="1:6">
      <c r="A293">
        <v>5438</v>
      </c>
      <c r="B293" t="s">
        <v>2278</v>
      </c>
      <c r="C293">
        <v>11.85</v>
      </c>
      <c r="D293" t="e">
        <f>VLOOKUP(A293,收盤價!A:B,3,0)</f>
        <v>#REF!</v>
      </c>
      <c r="E293" s="85">
        <v>1.6877637130801777E-2</v>
      </c>
      <c r="F293">
        <v>81.489999999999995</v>
      </c>
    </row>
    <row r="294" spans="1:6">
      <c r="A294">
        <v>6219</v>
      </c>
      <c r="B294" t="s">
        <v>2354</v>
      </c>
      <c r="C294">
        <v>12</v>
      </c>
      <c r="D294" t="e">
        <f>VLOOKUP(A294,收盤價!A:B,3,0)</f>
        <v>#REF!</v>
      </c>
      <c r="E294" s="85">
        <v>1.6666666666666607E-2</v>
      </c>
      <c r="F294">
        <v>81.430000000000007</v>
      </c>
    </row>
    <row r="295" spans="1:6">
      <c r="A295">
        <v>4536</v>
      </c>
      <c r="B295" t="s">
        <v>1799</v>
      </c>
      <c r="C295">
        <v>125.5</v>
      </c>
      <c r="D295" t="e">
        <f>VLOOKUP(A295,收盤價!A:B,3,0)</f>
        <v>#REF!</v>
      </c>
      <c r="E295" s="85">
        <v>1.5936254980079681E-2</v>
      </c>
      <c r="F295">
        <v>81.36</v>
      </c>
    </row>
    <row r="296" spans="1:6">
      <c r="A296">
        <v>2027</v>
      </c>
      <c r="B296" t="s">
        <v>1368</v>
      </c>
      <c r="C296">
        <v>15.95</v>
      </c>
      <c r="D296">
        <f>VLOOKUP(A296,收盤價!A:C,3,0)</f>
        <v>16.149999999999999</v>
      </c>
      <c r="E296" s="85">
        <v>1.5673981191222573E-2</v>
      </c>
      <c r="F296">
        <v>81.3</v>
      </c>
    </row>
    <row r="297" spans="1:6">
      <c r="A297">
        <v>5227</v>
      </c>
      <c r="B297" t="s">
        <v>2250</v>
      </c>
      <c r="C297">
        <v>32.25</v>
      </c>
      <c r="D297" t="e">
        <f>VLOOKUP(A297,收盤價!A:B,3,0)</f>
        <v>#REF!</v>
      </c>
      <c r="E297" s="85">
        <v>1.5503875968992248E-2</v>
      </c>
      <c r="F297">
        <v>81.239999999999995</v>
      </c>
    </row>
    <row r="298" spans="1:6">
      <c r="A298">
        <v>8927</v>
      </c>
      <c r="B298" t="s">
        <v>570</v>
      </c>
      <c r="C298">
        <v>9.8000000000000007</v>
      </c>
      <c r="D298" t="e">
        <f>VLOOKUP(A298,收盤價!A:B,3,0)</f>
        <v>#REF!</v>
      </c>
      <c r="E298" s="85">
        <v>1.5306122448979446E-2</v>
      </c>
      <c r="F298">
        <v>81.17</v>
      </c>
    </row>
    <row r="299" spans="1:6">
      <c r="A299">
        <v>3234</v>
      </c>
      <c r="B299" t="s">
        <v>346</v>
      </c>
      <c r="C299">
        <v>99</v>
      </c>
      <c r="D299" t="e">
        <f>VLOOKUP(A299,收盤價!A:B,3,0)</f>
        <v>#REF!</v>
      </c>
      <c r="E299" s="85">
        <v>1.5151515151515152E-2</v>
      </c>
      <c r="F299">
        <v>81.11</v>
      </c>
    </row>
    <row r="300" spans="1:6">
      <c r="A300">
        <v>3406</v>
      </c>
      <c r="B300" t="s">
        <v>1726</v>
      </c>
      <c r="C300">
        <v>66.5</v>
      </c>
      <c r="D300" t="e">
        <f>VLOOKUP(A300,收盤價!A:B,3,0)</f>
        <v>#REF!</v>
      </c>
      <c r="E300" s="85">
        <v>1.5037593984962405E-2</v>
      </c>
      <c r="F300">
        <v>81.05</v>
      </c>
    </row>
    <row r="301" spans="1:6">
      <c r="A301">
        <v>2412</v>
      </c>
      <c r="B301" t="s">
        <v>1474</v>
      </c>
      <c r="C301">
        <v>98.4</v>
      </c>
      <c r="D301" t="e">
        <f>VLOOKUP(A301,收盤價!A:B,3,0)</f>
        <v>#REF!</v>
      </c>
      <c r="E301" s="85">
        <v>1.4227642276422677E-2</v>
      </c>
      <c r="F301">
        <v>80.989999999999995</v>
      </c>
    </row>
    <row r="302" spans="1:6">
      <c r="A302">
        <v>2461</v>
      </c>
      <c r="B302" t="s">
        <v>1514</v>
      </c>
      <c r="C302">
        <v>14.2</v>
      </c>
      <c r="D302" t="e">
        <f>VLOOKUP(A302,收盤價!A:B,3,0)</f>
        <v>#REF!</v>
      </c>
      <c r="E302" s="85">
        <v>1.4084507042253596E-2</v>
      </c>
      <c r="F302">
        <v>80.92</v>
      </c>
    </row>
    <row r="303" spans="1:6">
      <c r="A303">
        <v>1524</v>
      </c>
      <c r="B303" t="s">
        <v>1263</v>
      </c>
      <c r="C303">
        <v>5.22</v>
      </c>
      <c r="D303">
        <f>VLOOKUP(A303,收盤價!A:C,3,0)</f>
        <v>5.31</v>
      </c>
      <c r="E303" s="85">
        <v>1.3409961685823811E-2</v>
      </c>
      <c r="F303">
        <v>80.86</v>
      </c>
    </row>
    <row r="304" spans="1:6">
      <c r="A304">
        <v>1419</v>
      </c>
      <c r="B304" t="s">
        <v>1208</v>
      </c>
      <c r="C304">
        <v>38.1</v>
      </c>
      <c r="D304">
        <f>VLOOKUP(A304,收盤價!A:C,3,0)</f>
        <v>38.799999999999997</v>
      </c>
      <c r="E304" s="85">
        <v>1.3123359580052493E-2</v>
      </c>
      <c r="F304">
        <v>80.8</v>
      </c>
    </row>
    <row r="305" spans="1:6">
      <c r="A305">
        <v>1519</v>
      </c>
      <c r="B305" t="s">
        <v>1260</v>
      </c>
      <c r="C305">
        <v>15.55</v>
      </c>
      <c r="D305">
        <f>VLOOKUP(A305,收盤價!A:C,3,0)</f>
        <v>15.3</v>
      </c>
      <c r="E305" s="85">
        <v>1.2861736334405098E-2</v>
      </c>
      <c r="F305">
        <v>80.73</v>
      </c>
    </row>
    <row r="306" spans="1:6">
      <c r="A306">
        <v>1737</v>
      </c>
      <c r="B306" t="s">
        <v>1332</v>
      </c>
      <c r="C306">
        <v>23.7</v>
      </c>
      <c r="D306">
        <f>VLOOKUP(A306,收盤價!A:C,3,0)</f>
        <v>24.15</v>
      </c>
      <c r="E306" s="85">
        <v>1.2658227848101297E-2</v>
      </c>
      <c r="F306">
        <v>80.67</v>
      </c>
    </row>
    <row r="307" spans="1:6">
      <c r="A307">
        <v>5904</v>
      </c>
      <c r="B307" t="s">
        <v>491</v>
      </c>
      <c r="C307">
        <v>328.5</v>
      </c>
      <c r="D307" t="e">
        <f>VLOOKUP(A307,收盤價!A:B,3,0)</f>
        <v>#REF!</v>
      </c>
      <c r="E307" s="85">
        <v>1.2176560121765601E-2</v>
      </c>
      <c r="F307">
        <v>80.61</v>
      </c>
    </row>
    <row r="308" spans="1:6">
      <c r="A308">
        <v>9917</v>
      </c>
      <c r="B308" t="s">
        <v>2013</v>
      </c>
      <c r="C308">
        <v>92.8</v>
      </c>
      <c r="D308" t="e">
        <f>VLOOKUP(A308,收盤價!A:B,3,0)</f>
        <v>#REF!</v>
      </c>
      <c r="E308" s="85">
        <v>1.1853448275862162E-2</v>
      </c>
      <c r="F308">
        <v>80.540000000000006</v>
      </c>
    </row>
    <row r="309" spans="1:6">
      <c r="A309">
        <v>3376</v>
      </c>
      <c r="B309" t="s">
        <v>1723</v>
      </c>
      <c r="C309">
        <v>93.6</v>
      </c>
      <c r="D309" t="e">
        <f>VLOOKUP(A309,收盤價!A:B,3,0)</f>
        <v>#REF!</v>
      </c>
      <c r="E309" s="85">
        <v>1.1752136752136844E-2</v>
      </c>
      <c r="F309">
        <v>80.48</v>
      </c>
    </row>
    <row r="310" spans="1:6">
      <c r="A310">
        <v>5443</v>
      </c>
      <c r="B310" t="s">
        <v>2279</v>
      </c>
      <c r="C310">
        <v>12.85</v>
      </c>
      <c r="D310" t="e">
        <f>VLOOKUP(A310,收盤價!A:B,3,0)</f>
        <v>#REF!</v>
      </c>
      <c r="E310" s="85">
        <v>1.1673151750972791E-2</v>
      </c>
      <c r="F310">
        <v>80.42</v>
      </c>
    </row>
    <row r="311" spans="1:6">
      <c r="A311">
        <v>1720</v>
      </c>
      <c r="B311" t="s">
        <v>1316</v>
      </c>
      <c r="C311">
        <v>31.65</v>
      </c>
      <c r="D311">
        <f>VLOOKUP(A311,收盤價!A:C,3,0)</f>
        <v>34.950000000000003</v>
      </c>
      <c r="E311" s="85">
        <v>1.1058451816745701E-2</v>
      </c>
      <c r="F311">
        <v>80.349999999999994</v>
      </c>
    </row>
    <row r="312" spans="1:6">
      <c r="A312">
        <v>3402</v>
      </c>
      <c r="B312" t="s">
        <v>2119</v>
      </c>
      <c r="C312">
        <v>13.8</v>
      </c>
      <c r="D312" t="e">
        <f>VLOOKUP(A312,收盤價!A:B,3,0)</f>
        <v>#REF!</v>
      </c>
      <c r="E312" s="85">
        <v>1.08695652173912E-2</v>
      </c>
      <c r="F312">
        <v>80.290000000000006</v>
      </c>
    </row>
    <row r="313" spans="1:6">
      <c r="A313">
        <v>1326</v>
      </c>
      <c r="B313" t="s">
        <v>1195</v>
      </c>
      <c r="C313">
        <v>74.2</v>
      </c>
      <c r="D313">
        <f>VLOOKUP(A313,收盤價!A:C,3,0)</f>
        <v>74.400000000000006</v>
      </c>
      <c r="E313" s="85">
        <v>1.078167115902961E-2</v>
      </c>
      <c r="F313">
        <v>80.23</v>
      </c>
    </row>
    <row r="314" spans="1:6">
      <c r="A314">
        <v>3605</v>
      </c>
      <c r="B314" t="s">
        <v>1763</v>
      </c>
      <c r="C314">
        <v>23.45</v>
      </c>
      <c r="D314" t="e">
        <f>VLOOKUP(A314,收盤價!A:B,3,0)</f>
        <v>#REF!</v>
      </c>
      <c r="E314" s="85">
        <v>1.0660980810234541E-2</v>
      </c>
      <c r="F314">
        <v>80.16</v>
      </c>
    </row>
    <row r="315" spans="1:6">
      <c r="A315">
        <v>4725</v>
      </c>
      <c r="B315" t="s">
        <v>1804</v>
      </c>
      <c r="C315">
        <v>18.850000000000001</v>
      </c>
      <c r="D315" t="e">
        <f>VLOOKUP(A315,收盤價!A:B,3,0)</f>
        <v>#REF!</v>
      </c>
      <c r="E315" s="85">
        <v>1.0610079575596778E-2</v>
      </c>
      <c r="F315">
        <v>80.099999999999994</v>
      </c>
    </row>
    <row r="316" spans="1:6">
      <c r="A316">
        <v>9949</v>
      </c>
      <c r="B316" t="s">
        <v>577</v>
      </c>
      <c r="C316">
        <v>14.65</v>
      </c>
      <c r="D316" t="e">
        <f>VLOOKUP(A316,收盤價!A:B,3,0)</f>
        <v>#REF!</v>
      </c>
      <c r="E316" s="85">
        <v>1.0238907849829375E-2</v>
      </c>
      <c r="F316">
        <v>80.040000000000006</v>
      </c>
    </row>
    <row r="317" spans="1:6">
      <c r="A317">
        <v>4123</v>
      </c>
      <c r="B317" t="s">
        <v>2173</v>
      </c>
      <c r="C317">
        <v>69.8</v>
      </c>
      <c r="D317" t="e">
        <f>VLOOKUP(A317,收盤價!A:B,3,0)</f>
        <v>#REF!</v>
      </c>
      <c r="E317" s="85">
        <v>1.0028653295128981E-2</v>
      </c>
      <c r="F317">
        <v>79.97</v>
      </c>
    </row>
    <row r="318" spans="1:6">
      <c r="A318">
        <v>2373</v>
      </c>
      <c r="B318" t="s">
        <v>1449</v>
      </c>
      <c r="C318">
        <v>51.5</v>
      </c>
      <c r="D318" t="e">
        <f>VLOOKUP(A318,收盤價!A:B,3,0)</f>
        <v>#REF!</v>
      </c>
      <c r="E318" s="85">
        <v>9.7087378640776691E-3</v>
      </c>
      <c r="F318">
        <v>79.91</v>
      </c>
    </row>
    <row r="319" spans="1:6">
      <c r="A319">
        <v>5474</v>
      </c>
      <c r="B319" t="s">
        <v>2282</v>
      </c>
      <c r="C319">
        <v>73.5</v>
      </c>
      <c r="D319" t="e">
        <f>VLOOKUP(A319,收盤價!A:B,3,0)</f>
        <v>#REF!</v>
      </c>
      <c r="E319" s="85">
        <v>9.5238095238095628E-3</v>
      </c>
      <c r="F319">
        <v>79.849999999999994</v>
      </c>
    </row>
    <row r="320" spans="1:6">
      <c r="A320">
        <v>6605</v>
      </c>
      <c r="B320" t="s">
        <v>1938</v>
      </c>
      <c r="C320">
        <v>105</v>
      </c>
      <c r="D320" t="e">
        <f>VLOOKUP(A320,收盤價!A:B,3,0)</f>
        <v>#REF!</v>
      </c>
      <c r="E320" s="85">
        <v>9.5238095238095247E-3</v>
      </c>
      <c r="F320">
        <v>79.790000000000006</v>
      </c>
    </row>
    <row r="321" spans="1:6">
      <c r="A321">
        <v>4533</v>
      </c>
      <c r="B321" t="s">
        <v>2211</v>
      </c>
      <c r="C321">
        <v>11.6</v>
      </c>
      <c r="D321" t="e">
        <f>VLOOKUP(A321,收盤價!A:B,3,0)</f>
        <v>#REF!</v>
      </c>
      <c r="E321" s="85">
        <v>8.6206896551723842E-3</v>
      </c>
      <c r="F321">
        <v>79.72</v>
      </c>
    </row>
    <row r="322" spans="1:6">
      <c r="A322">
        <v>1813</v>
      </c>
      <c r="B322" t="s">
        <v>314</v>
      </c>
      <c r="C322">
        <v>25.9</v>
      </c>
      <c r="D322">
        <f>VLOOKUP(A322,收盤價!A:C,3,0)</f>
        <v>26.1</v>
      </c>
      <c r="E322" s="85">
        <v>7.7220077220078323E-3</v>
      </c>
      <c r="F322">
        <v>79.66</v>
      </c>
    </row>
    <row r="323" spans="1:6">
      <c r="A323">
        <v>3623</v>
      </c>
      <c r="B323" t="s">
        <v>393</v>
      </c>
      <c r="C323">
        <v>39.15</v>
      </c>
      <c r="D323" t="e">
        <f>VLOOKUP(A323,收盤價!A:B,3,0)</f>
        <v>#REF!</v>
      </c>
      <c r="E323" s="85">
        <v>7.6628352490422545E-3</v>
      </c>
      <c r="F323">
        <v>79.599999999999994</v>
      </c>
    </row>
    <row r="324" spans="1:6">
      <c r="A324">
        <v>6184</v>
      </c>
      <c r="B324" t="s">
        <v>1889</v>
      </c>
      <c r="C324">
        <v>52.8</v>
      </c>
      <c r="D324" t="e">
        <f>VLOOKUP(A324,收盤價!A:B,3,0)</f>
        <v>#REF!</v>
      </c>
      <c r="E324" s="85">
        <v>7.5757575757576835E-3</v>
      </c>
      <c r="F324">
        <v>79.53</v>
      </c>
    </row>
    <row r="325" spans="1:6">
      <c r="A325">
        <v>4912</v>
      </c>
      <c r="B325" t="s">
        <v>1811</v>
      </c>
      <c r="C325">
        <v>80.3</v>
      </c>
      <c r="D325" t="e">
        <f>VLOOKUP(A325,收盤價!A:B,3,0)</f>
        <v>#REF!</v>
      </c>
      <c r="E325" s="85">
        <v>7.4719800747199069E-3</v>
      </c>
      <c r="F325">
        <v>79.47</v>
      </c>
    </row>
    <row r="326" spans="1:6">
      <c r="A326">
        <v>1732</v>
      </c>
      <c r="B326" t="s">
        <v>1327</v>
      </c>
      <c r="C326">
        <v>13.5</v>
      </c>
      <c r="D326">
        <f>VLOOKUP(A326,收盤價!A:C,3,0)</f>
        <v>13.1</v>
      </c>
      <c r="E326" s="85">
        <v>7.4074074074073808E-3</v>
      </c>
      <c r="F326">
        <v>79.41</v>
      </c>
    </row>
    <row r="327" spans="1:6">
      <c r="A327">
        <v>3013</v>
      </c>
      <c r="B327" t="s">
        <v>1658</v>
      </c>
      <c r="C327">
        <v>20.55</v>
      </c>
      <c r="D327" t="e">
        <f>VLOOKUP(A327,收盤價!A:B,3,0)</f>
        <v>#REF!</v>
      </c>
      <c r="E327" s="85">
        <v>7.2992700729926311E-3</v>
      </c>
      <c r="F327">
        <v>79.34</v>
      </c>
    </row>
    <row r="328" spans="1:6">
      <c r="A328">
        <v>2912</v>
      </c>
      <c r="B328" t="s">
        <v>1645</v>
      </c>
      <c r="C328">
        <v>217</v>
      </c>
      <c r="D328" t="e">
        <f>VLOOKUP(A328,收盤價!A:B,3,0)</f>
        <v>#REF!</v>
      </c>
      <c r="E328" s="85">
        <v>6.9124423963133645E-3</v>
      </c>
      <c r="F328">
        <v>79.28</v>
      </c>
    </row>
    <row r="329" spans="1:6">
      <c r="A329">
        <v>4720</v>
      </c>
      <c r="B329" t="s">
        <v>1802</v>
      </c>
      <c r="C329">
        <v>15.5</v>
      </c>
      <c r="D329" t="e">
        <f>VLOOKUP(A329,收盤價!A:B,3,0)</f>
        <v>#REF!</v>
      </c>
      <c r="E329" s="85">
        <v>6.4516129032257839E-3</v>
      </c>
      <c r="F329">
        <v>79.22</v>
      </c>
    </row>
    <row r="330" spans="1:6">
      <c r="A330">
        <v>4726</v>
      </c>
      <c r="B330" t="s">
        <v>2219</v>
      </c>
      <c r="C330">
        <v>38.950000000000003</v>
      </c>
      <c r="D330" t="e">
        <f>VLOOKUP(A330,收盤價!A:B,3,0)</f>
        <v>#REF!</v>
      </c>
      <c r="E330" s="85">
        <v>6.4184852374839533E-3</v>
      </c>
      <c r="F330">
        <v>79.150000000000006</v>
      </c>
    </row>
    <row r="331" spans="1:6">
      <c r="A331">
        <v>1440</v>
      </c>
      <c r="B331" t="s">
        <v>1217</v>
      </c>
      <c r="C331">
        <v>15.8</v>
      </c>
      <c r="D331">
        <f>VLOOKUP(A331,收盤價!A:C,3,0)</f>
        <v>15.9</v>
      </c>
      <c r="E331" s="85">
        <v>6.3291139240506103E-3</v>
      </c>
      <c r="F331">
        <v>79.09</v>
      </c>
    </row>
    <row r="332" spans="1:6">
      <c r="A332">
        <v>2642</v>
      </c>
      <c r="B332" t="s">
        <v>1590</v>
      </c>
      <c r="C332">
        <v>31.8</v>
      </c>
      <c r="D332" t="e">
        <f>VLOOKUP(A332,收盤價!A:B,3,0)</f>
        <v>#REF!</v>
      </c>
      <c r="E332" s="85">
        <v>6.2893081761006067E-3</v>
      </c>
      <c r="F332">
        <v>79.03</v>
      </c>
    </row>
    <row r="333" spans="1:6">
      <c r="A333">
        <v>8403</v>
      </c>
      <c r="B333" t="s">
        <v>2431</v>
      </c>
      <c r="C333">
        <v>40.25</v>
      </c>
      <c r="D333" t="e">
        <f>VLOOKUP(A333,收盤價!A:B,3,0)</f>
        <v>#REF!</v>
      </c>
      <c r="E333" s="85">
        <v>4.9689440993789524E-3</v>
      </c>
      <c r="F333">
        <v>78.959999999999994</v>
      </c>
    </row>
    <row r="334" spans="1:6">
      <c r="A334">
        <v>4513</v>
      </c>
      <c r="B334" t="s">
        <v>2205</v>
      </c>
      <c r="C334">
        <v>10.65</v>
      </c>
      <c r="D334" t="e">
        <f>VLOOKUP(A334,收盤價!A:B,3,0)</f>
        <v>#REF!</v>
      </c>
      <c r="E334" s="85">
        <v>4.6948356807510732E-3</v>
      </c>
      <c r="F334">
        <v>78.900000000000006</v>
      </c>
    </row>
    <row r="335" spans="1:6">
      <c r="A335">
        <v>3284</v>
      </c>
      <c r="B335" t="s">
        <v>352</v>
      </c>
      <c r="C335">
        <v>9.2799999999999994</v>
      </c>
      <c r="D335" t="e">
        <f>VLOOKUP(A335,收盤價!A:B,3,0)</f>
        <v>#REF!</v>
      </c>
      <c r="E335" s="85">
        <v>4.3103448275863066E-3</v>
      </c>
      <c r="F335">
        <v>78.84</v>
      </c>
    </row>
    <row r="336" spans="1:6">
      <c r="A336">
        <v>3021</v>
      </c>
      <c r="B336" t="s">
        <v>1664</v>
      </c>
      <c r="C336">
        <v>11.8</v>
      </c>
      <c r="D336" t="e">
        <f>VLOOKUP(A336,收盤價!A:B,3,0)</f>
        <v>#REF!</v>
      </c>
      <c r="E336" s="85">
        <v>4.2372881355931301E-3</v>
      </c>
      <c r="F336">
        <v>78.77</v>
      </c>
    </row>
    <row r="337" spans="1:6">
      <c r="A337">
        <v>4306</v>
      </c>
      <c r="B337" t="s">
        <v>1794</v>
      </c>
      <c r="C337">
        <v>12.55</v>
      </c>
      <c r="D337" t="e">
        <f>VLOOKUP(A337,收盤價!A:B,3,0)</f>
        <v>#REF!</v>
      </c>
      <c r="E337" s="85">
        <v>3.9840637450198352E-3</v>
      </c>
      <c r="F337">
        <v>78.709999999999994</v>
      </c>
    </row>
    <row r="338" spans="1:6">
      <c r="A338">
        <v>2704</v>
      </c>
      <c r="B338" t="s">
        <v>1593</v>
      </c>
      <c r="C338">
        <v>27.1</v>
      </c>
      <c r="D338" t="e">
        <f>VLOOKUP(A338,收盤價!A:B,3,0)</f>
        <v>#REF!</v>
      </c>
      <c r="E338" s="85">
        <v>3.6900369003689247E-3</v>
      </c>
      <c r="F338">
        <v>78.650000000000006</v>
      </c>
    </row>
    <row r="339" spans="1:6">
      <c r="A339">
        <v>5278</v>
      </c>
      <c r="B339" t="s">
        <v>455</v>
      </c>
      <c r="C339">
        <v>28.8</v>
      </c>
      <c r="D339" t="e">
        <f>VLOOKUP(A339,收盤價!A:B,3,0)</f>
        <v>#REF!</v>
      </c>
      <c r="E339" s="85">
        <v>3.4722222222221483E-3</v>
      </c>
      <c r="F339">
        <v>78.58</v>
      </c>
    </row>
    <row r="340" spans="1:6">
      <c r="A340">
        <v>6409</v>
      </c>
      <c r="B340" t="s">
        <v>1924</v>
      </c>
      <c r="C340">
        <v>389</v>
      </c>
      <c r="D340" t="e">
        <f>VLOOKUP(A340,收盤價!A:B,3,0)</f>
        <v>#REF!</v>
      </c>
      <c r="E340" s="85">
        <v>2.5706940874035988E-3</v>
      </c>
      <c r="F340">
        <v>78.52</v>
      </c>
    </row>
    <row r="341" spans="1:6">
      <c r="A341">
        <v>3308</v>
      </c>
      <c r="B341" t="s">
        <v>1717</v>
      </c>
      <c r="C341">
        <v>8.3000000000000007</v>
      </c>
      <c r="D341" t="e">
        <f>VLOOKUP(A341,收盤價!A:B,3,0)</f>
        <v>#REF!</v>
      </c>
      <c r="E341" s="85">
        <v>2.4096385542168161E-3</v>
      </c>
      <c r="F341">
        <v>78.459999999999994</v>
      </c>
    </row>
    <row r="342" spans="1:6">
      <c r="A342">
        <v>6415</v>
      </c>
      <c r="B342" t="s">
        <v>1927</v>
      </c>
      <c r="C342">
        <v>317</v>
      </c>
      <c r="D342" t="e">
        <f>VLOOKUP(A342,收盤價!A:B,3,0)</f>
        <v>#REF!</v>
      </c>
      <c r="E342" s="85">
        <v>1.5772870662460567E-3</v>
      </c>
      <c r="F342">
        <v>78.400000000000006</v>
      </c>
    </row>
    <row r="343" spans="1:6">
      <c r="A343">
        <v>2362</v>
      </c>
      <c r="B343" t="s">
        <v>1441</v>
      </c>
      <c r="C343">
        <v>36.049999999999997</v>
      </c>
      <c r="D343" t="e">
        <f>VLOOKUP(A343,收盤價!A:B,3,0)</f>
        <v>#REF!</v>
      </c>
      <c r="E343" s="85">
        <v>1.3869625520112141E-3</v>
      </c>
      <c r="F343">
        <v>78.33</v>
      </c>
    </row>
    <row r="344" spans="1:6">
      <c r="A344">
        <v>1805</v>
      </c>
      <c r="B344" t="s">
        <v>1339</v>
      </c>
      <c r="C344">
        <v>7.89</v>
      </c>
      <c r="D344">
        <f>VLOOKUP(A344,收盤價!A:C,3,0)</f>
        <v>7.75</v>
      </c>
      <c r="E344" s="85">
        <v>1.2674271229405165E-3</v>
      </c>
      <c r="F344">
        <v>78.27</v>
      </c>
    </row>
    <row r="345" spans="1:6">
      <c r="A345">
        <v>1718</v>
      </c>
      <c r="B345" t="s">
        <v>1315</v>
      </c>
      <c r="C345">
        <v>9.52</v>
      </c>
      <c r="D345">
        <f>VLOOKUP(A345,收盤價!A:C,3,0)</f>
        <v>9.3000000000000007</v>
      </c>
      <c r="E345" s="85">
        <v>1.0504201680672045E-3</v>
      </c>
      <c r="F345">
        <v>78.209999999999994</v>
      </c>
    </row>
    <row r="346" spans="1:6">
      <c r="A346">
        <v>2726</v>
      </c>
      <c r="B346" t="s">
        <v>2065</v>
      </c>
      <c r="C346">
        <v>47.65</v>
      </c>
      <c r="D346" t="e">
        <f>VLOOKUP(A346,收盤價!A:B,3,0)</f>
        <v>#REF!</v>
      </c>
      <c r="E346" s="85">
        <v>1.0493179433369206E-3</v>
      </c>
      <c r="F346">
        <v>78.14</v>
      </c>
    </row>
    <row r="347" spans="1:6">
      <c r="A347">
        <v>9962</v>
      </c>
      <c r="B347" t="s">
        <v>2456</v>
      </c>
      <c r="C347">
        <v>8.61</v>
      </c>
      <c r="D347" t="e">
        <f>VLOOKUP(A347,收盤價!A:B,3,0)</f>
        <v>#REF!</v>
      </c>
      <c r="E347" s="85">
        <v>0</v>
      </c>
      <c r="F347">
        <v>78.08</v>
      </c>
    </row>
    <row r="348" spans="1:6">
      <c r="A348">
        <v>6509</v>
      </c>
      <c r="B348" t="s">
        <v>538</v>
      </c>
      <c r="C348">
        <v>18.600000000000001</v>
      </c>
      <c r="D348" t="e">
        <f>VLOOKUP(A348,收盤價!A:B,3,0)</f>
        <v>#REF!</v>
      </c>
      <c r="E348" s="85">
        <v>0</v>
      </c>
      <c r="F348">
        <v>78.02</v>
      </c>
    </row>
    <row r="349" spans="1:6">
      <c r="A349">
        <v>1235</v>
      </c>
      <c r="B349" t="s">
        <v>1173</v>
      </c>
      <c r="C349">
        <v>18.350000000000001</v>
      </c>
      <c r="D349">
        <f>VLOOKUP(A349,收盤價!A:C,3,0)</f>
        <v>18.2</v>
      </c>
      <c r="E349" s="85">
        <v>0</v>
      </c>
      <c r="F349">
        <v>77.95</v>
      </c>
    </row>
    <row r="350" spans="1:6">
      <c r="A350">
        <v>1219</v>
      </c>
      <c r="B350" t="s">
        <v>1164</v>
      </c>
      <c r="C350">
        <v>14.9</v>
      </c>
      <c r="D350">
        <f>VLOOKUP(A350,收盤價!A:C,3,0)</f>
        <v>14.9</v>
      </c>
      <c r="E350" s="85">
        <v>0</v>
      </c>
      <c r="F350">
        <v>77.89</v>
      </c>
    </row>
    <row r="351" spans="1:6">
      <c r="A351">
        <v>5607</v>
      </c>
      <c r="B351" t="s">
        <v>1856</v>
      </c>
      <c r="C351">
        <v>15.5</v>
      </c>
      <c r="D351" t="e">
        <f>VLOOKUP(A351,收盤價!A:B,3,0)</f>
        <v>#REF!</v>
      </c>
      <c r="E351" s="85">
        <v>0</v>
      </c>
      <c r="F351">
        <v>77.83</v>
      </c>
    </row>
    <row r="352" spans="1:6">
      <c r="A352">
        <v>2916</v>
      </c>
      <c r="B352" t="s">
        <v>2068</v>
      </c>
      <c r="C352">
        <v>17.8</v>
      </c>
      <c r="D352" t="e">
        <f>VLOOKUP(A352,收盤價!A:B,3,0)</f>
        <v>#REF!</v>
      </c>
      <c r="E352" s="85">
        <v>0</v>
      </c>
      <c r="F352">
        <v>77.760000000000005</v>
      </c>
    </row>
    <row r="353" spans="1:6">
      <c r="A353">
        <v>4919</v>
      </c>
      <c r="B353" t="s">
        <v>1814</v>
      </c>
      <c r="C353">
        <v>26.05</v>
      </c>
      <c r="D353" t="e">
        <f>VLOOKUP(A353,收盤價!A:B,3,0)</f>
        <v>#REF!</v>
      </c>
      <c r="E353" s="85">
        <v>0</v>
      </c>
      <c r="F353">
        <v>77.7</v>
      </c>
    </row>
    <row r="354" spans="1:6">
      <c r="A354">
        <v>4104</v>
      </c>
      <c r="B354" t="s">
        <v>1784</v>
      </c>
      <c r="C354">
        <v>47.7</v>
      </c>
      <c r="D354" t="e">
        <f>VLOOKUP(A354,收盤價!A:B,3,0)</f>
        <v>#REF!</v>
      </c>
      <c r="E354" s="85">
        <v>-1.0482180293501942E-3</v>
      </c>
      <c r="F354">
        <v>77.64</v>
      </c>
    </row>
    <row r="355" spans="1:6">
      <c r="A355">
        <v>3661</v>
      </c>
      <c r="B355" t="s">
        <v>1769</v>
      </c>
      <c r="C355">
        <v>45.5</v>
      </c>
      <c r="D355" t="e">
        <f>VLOOKUP(A355,收盤價!A:B,3,0)</f>
        <v>#REF!</v>
      </c>
      <c r="E355" s="85">
        <v>-1.0989010989010365E-3</v>
      </c>
      <c r="F355">
        <v>77.569999999999993</v>
      </c>
    </row>
    <row r="356" spans="1:6">
      <c r="A356">
        <v>1795</v>
      </c>
      <c r="B356" t="s">
        <v>2055</v>
      </c>
      <c r="C356">
        <v>73</v>
      </c>
      <c r="D356">
        <f>VLOOKUP(A356,收盤價!A:C,3,0)</f>
        <v>72.900000000000006</v>
      </c>
      <c r="E356" s="85">
        <v>-1.3698630136985523E-3</v>
      </c>
      <c r="F356">
        <v>77.510000000000005</v>
      </c>
    </row>
    <row r="357" spans="1:6">
      <c r="A357">
        <v>4972</v>
      </c>
      <c r="B357" t="s">
        <v>2236</v>
      </c>
      <c r="C357">
        <v>36.4</v>
      </c>
      <c r="D357" t="e">
        <f>VLOOKUP(A357,收盤價!A:B,3,0)</f>
        <v>#REF!</v>
      </c>
      <c r="E357" s="85">
        <v>-1.3736263736262957E-3</v>
      </c>
      <c r="F357">
        <v>77.45</v>
      </c>
    </row>
    <row r="358" spans="1:6">
      <c r="A358">
        <v>4114</v>
      </c>
      <c r="B358" t="s">
        <v>2171</v>
      </c>
      <c r="C358">
        <v>32.65</v>
      </c>
      <c r="D358" t="e">
        <f>VLOOKUP(A358,收盤價!A:B,3,0)</f>
        <v>#REF!</v>
      </c>
      <c r="E358" s="85">
        <v>-1.5313935681469269E-3</v>
      </c>
      <c r="F358">
        <v>77.38</v>
      </c>
    </row>
    <row r="359" spans="1:6">
      <c r="A359">
        <v>5344</v>
      </c>
      <c r="B359" t="s">
        <v>2265</v>
      </c>
      <c r="C359">
        <v>6.41</v>
      </c>
      <c r="D359" t="e">
        <f>VLOOKUP(A359,收盤價!A:B,3,0)</f>
        <v>#REF!</v>
      </c>
      <c r="E359" s="85">
        <v>-1.5600624024960665E-3</v>
      </c>
      <c r="F359">
        <v>77.319999999999993</v>
      </c>
    </row>
    <row r="360" spans="1:6">
      <c r="A360">
        <v>3059</v>
      </c>
      <c r="B360" t="s">
        <v>1700</v>
      </c>
      <c r="C360">
        <v>28.2</v>
      </c>
      <c r="D360" t="e">
        <f>VLOOKUP(A360,收盤價!A:B,3,0)</f>
        <v>#REF!</v>
      </c>
      <c r="E360" s="85">
        <v>-1.7730496453900962E-3</v>
      </c>
      <c r="F360">
        <v>77.260000000000005</v>
      </c>
    </row>
    <row r="361" spans="1:6">
      <c r="A361">
        <v>5225</v>
      </c>
      <c r="B361" t="s">
        <v>1833</v>
      </c>
      <c r="C361">
        <v>48.75</v>
      </c>
      <c r="D361" t="e">
        <f>VLOOKUP(A361,收盤價!A:B,3,0)</f>
        <v>#REF!</v>
      </c>
      <c r="E361" s="85">
        <v>-2.0512820512820803E-3</v>
      </c>
      <c r="F361">
        <v>77.2</v>
      </c>
    </row>
    <row r="362" spans="1:6">
      <c r="A362">
        <v>3514</v>
      </c>
      <c r="B362" t="s">
        <v>1740</v>
      </c>
      <c r="C362">
        <v>20.05</v>
      </c>
      <c r="D362" t="e">
        <f>VLOOKUP(A362,收盤價!A:B,3,0)</f>
        <v>#REF!</v>
      </c>
      <c r="E362" s="85">
        <v>-2.4937655860349482E-3</v>
      </c>
      <c r="F362">
        <v>77.13</v>
      </c>
    </row>
    <row r="363" spans="1:6">
      <c r="A363">
        <v>5314</v>
      </c>
      <c r="B363" t="s">
        <v>2260</v>
      </c>
      <c r="C363">
        <v>7.02</v>
      </c>
      <c r="D363" t="e">
        <f>VLOOKUP(A363,收盤價!A:B,3,0)</f>
        <v>#REF!</v>
      </c>
      <c r="E363" s="85">
        <v>-2.8490028490027884E-3</v>
      </c>
      <c r="F363">
        <v>77.069999999999993</v>
      </c>
    </row>
    <row r="364" spans="1:6">
      <c r="A364">
        <v>1321</v>
      </c>
      <c r="B364" t="s">
        <v>1191</v>
      </c>
      <c r="C364">
        <v>29.85</v>
      </c>
      <c r="D364">
        <f>VLOOKUP(A364,收盤價!A:C,3,0)</f>
        <v>28.9</v>
      </c>
      <c r="E364" s="85">
        <v>-3.3500837520938497E-3</v>
      </c>
      <c r="F364">
        <v>77.010000000000005</v>
      </c>
    </row>
    <row r="365" spans="1:6">
      <c r="A365">
        <v>1731</v>
      </c>
      <c r="B365" t="s">
        <v>1326</v>
      </c>
      <c r="C365">
        <v>14.1</v>
      </c>
      <c r="D365">
        <f>VLOOKUP(A365,收盤價!A:C,3,0)</f>
        <v>13.85</v>
      </c>
      <c r="E365" s="85">
        <v>-3.5460992907800663E-3</v>
      </c>
      <c r="F365">
        <v>76.94</v>
      </c>
    </row>
    <row r="366" spans="1:6">
      <c r="A366">
        <v>2059</v>
      </c>
      <c r="B366" t="s">
        <v>1378</v>
      </c>
      <c r="C366">
        <v>412</v>
      </c>
      <c r="D366">
        <f>VLOOKUP(A366,收盤價!A:C,3,0)</f>
        <v>416</v>
      </c>
      <c r="E366" s="85">
        <v>-3.6407766990291263E-3</v>
      </c>
      <c r="F366">
        <v>76.88</v>
      </c>
    </row>
    <row r="367" spans="1:6">
      <c r="A367">
        <v>2020</v>
      </c>
      <c r="B367" t="s">
        <v>1363</v>
      </c>
      <c r="C367">
        <v>13.6</v>
      </c>
      <c r="D367">
        <f>VLOOKUP(A367,收盤價!A:C,3,0)</f>
        <v>13.5</v>
      </c>
      <c r="E367" s="85">
        <v>-3.676470588235216E-3</v>
      </c>
      <c r="F367">
        <v>76.819999999999993</v>
      </c>
    </row>
    <row r="368" spans="1:6">
      <c r="A368">
        <v>1526</v>
      </c>
      <c r="B368" t="s">
        <v>1265</v>
      </c>
      <c r="C368">
        <v>13.4</v>
      </c>
      <c r="D368">
        <f>VLOOKUP(A368,收盤價!A:C,3,0)</f>
        <v>13.2</v>
      </c>
      <c r="E368" s="85">
        <v>-3.7313432835821424E-3</v>
      </c>
      <c r="F368">
        <v>76.75</v>
      </c>
    </row>
    <row r="369" spans="1:6">
      <c r="A369">
        <v>1781</v>
      </c>
      <c r="B369" t="s">
        <v>2051</v>
      </c>
      <c r="C369">
        <v>25.95</v>
      </c>
      <c r="D369">
        <f>VLOOKUP(A369,收盤價!A:C,3,0)</f>
        <v>26.15</v>
      </c>
      <c r="E369" s="85">
        <v>-3.8535645472060837E-3</v>
      </c>
      <c r="F369">
        <v>76.69</v>
      </c>
    </row>
    <row r="370" spans="1:6">
      <c r="A370">
        <v>9929</v>
      </c>
      <c r="B370" t="s">
        <v>2022</v>
      </c>
      <c r="C370">
        <v>12.85</v>
      </c>
      <c r="D370" t="e">
        <f>VLOOKUP(A370,收盤價!A:B,3,0)</f>
        <v>#REF!</v>
      </c>
      <c r="E370" s="85">
        <v>-3.8910505836575048E-3</v>
      </c>
      <c r="F370">
        <v>76.63</v>
      </c>
    </row>
    <row r="371" spans="1:6">
      <c r="A371">
        <v>1605</v>
      </c>
      <c r="B371" t="s">
        <v>1290</v>
      </c>
      <c r="C371">
        <v>7.69</v>
      </c>
      <c r="D371">
        <f>VLOOKUP(A371,收盤價!A:C,3,0)</f>
        <v>7.59</v>
      </c>
      <c r="E371" s="85">
        <v>-3.9011703511053638E-3</v>
      </c>
      <c r="F371">
        <v>76.56</v>
      </c>
    </row>
    <row r="372" spans="1:6">
      <c r="A372">
        <v>6204</v>
      </c>
      <c r="B372" t="s">
        <v>2348</v>
      </c>
      <c r="C372">
        <v>23.6</v>
      </c>
      <c r="D372" t="e">
        <f>VLOOKUP(A372,收盤價!A:B,3,0)</f>
        <v>#REF!</v>
      </c>
      <c r="E372" s="85">
        <v>-4.2372881355932802E-3</v>
      </c>
      <c r="F372">
        <v>76.5</v>
      </c>
    </row>
    <row r="373" spans="1:6">
      <c r="A373">
        <v>1615</v>
      </c>
      <c r="B373" t="s">
        <v>1297</v>
      </c>
      <c r="C373">
        <v>10.25</v>
      </c>
      <c r="D373">
        <f>VLOOKUP(A373,收盤價!A:C,3,0)</f>
        <v>10.050000000000001</v>
      </c>
      <c r="E373" s="85">
        <v>-4.8780487804878743E-3</v>
      </c>
      <c r="F373">
        <v>76.44</v>
      </c>
    </row>
    <row r="374" spans="1:6">
      <c r="A374">
        <v>2385</v>
      </c>
      <c r="B374" t="s">
        <v>1458</v>
      </c>
      <c r="C374">
        <v>82.8</v>
      </c>
      <c r="D374" t="e">
        <f>VLOOKUP(A374,收盤價!A:B,3,0)</f>
        <v>#REF!</v>
      </c>
      <c r="E374" s="85">
        <v>-6.038647342995169E-3</v>
      </c>
      <c r="F374">
        <v>76.37</v>
      </c>
    </row>
    <row r="375" spans="1:6">
      <c r="A375">
        <v>2204</v>
      </c>
      <c r="B375" t="s">
        <v>1392</v>
      </c>
      <c r="C375">
        <v>24.05</v>
      </c>
      <c r="D375">
        <f>VLOOKUP(A375,收盤價!A:C,3,0)</f>
        <v>23.4</v>
      </c>
      <c r="E375" s="85">
        <v>-6.2370062370063258E-3</v>
      </c>
      <c r="F375">
        <v>76.31</v>
      </c>
    </row>
    <row r="376" spans="1:6">
      <c r="A376">
        <v>6148</v>
      </c>
      <c r="B376" t="s">
        <v>2333</v>
      </c>
      <c r="C376">
        <v>7.76</v>
      </c>
      <c r="D376" t="e">
        <f>VLOOKUP(A376,收盤價!A:B,3,0)</f>
        <v>#REF!</v>
      </c>
      <c r="E376" s="85">
        <v>-6.4432989690721421E-3</v>
      </c>
      <c r="F376">
        <v>76.25</v>
      </c>
    </row>
    <row r="377" spans="1:6">
      <c r="A377">
        <v>4747</v>
      </c>
      <c r="B377" t="s">
        <v>2224</v>
      </c>
      <c r="C377">
        <v>40.950000000000003</v>
      </c>
      <c r="D377" t="e">
        <f>VLOOKUP(A377,收盤價!A:B,3,0)</f>
        <v>#REF!</v>
      </c>
      <c r="E377" s="85">
        <v>-7.3260073260074292E-3</v>
      </c>
      <c r="F377">
        <v>76.180000000000007</v>
      </c>
    </row>
    <row r="378" spans="1:6">
      <c r="A378">
        <v>2419</v>
      </c>
      <c r="B378" t="s">
        <v>1479</v>
      </c>
      <c r="C378">
        <v>13.3</v>
      </c>
      <c r="D378" t="e">
        <f>VLOOKUP(A378,收盤價!A:B,3,0)</f>
        <v>#REF!</v>
      </c>
      <c r="E378" s="85">
        <v>-7.5187969924813093E-3</v>
      </c>
      <c r="F378">
        <v>76.12</v>
      </c>
    </row>
    <row r="379" spans="1:6">
      <c r="A379">
        <v>2887</v>
      </c>
      <c r="B379" t="s">
        <v>1629</v>
      </c>
      <c r="C379">
        <v>12.85</v>
      </c>
      <c r="D379" t="e">
        <f>VLOOKUP(A379,收盤價!A:B,3,0)</f>
        <v>#REF!</v>
      </c>
      <c r="E379" s="85">
        <v>-7.7821011673151474E-3</v>
      </c>
      <c r="F379">
        <v>76.06</v>
      </c>
    </row>
    <row r="380" spans="1:6">
      <c r="A380">
        <v>2357</v>
      </c>
      <c r="B380" t="s">
        <v>1436</v>
      </c>
      <c r="C380">
        <v>300.5</v>
      </c>
      <c r="D380" t="e">
        <f>VLOOKUP(A380,收盤價!A:B,3,0)</f>
        <v>#REF!</v>
      </c>
      <c r="E380" s="85">
        <v>-8.3194675540765387E-3</v>
      </c>
      <c r="F380">
        <v>75.989999999999995</v>
      </c>
    </row>
    <row r="381" spans="1:6">
      <c r="A381">
        <v>2453</v>
      </c>
      <c r="B381" t="s">
        <v>1506</v>
      </c>
      <c r="C381">
        <v>12</v>
      </c>
      <c r="D381" t="e">
        <f>VLOOKUP(A381,收盤價!A:B,3,0)</f>
        <v>#REF!</v>
      </c>
      <c r="E381" s="85">
        <v>-8.3333333333333037E-3</v>
      </c>
      <c r="F381">
        <v>75.930000000000007</v>
      </c>
    </row>
    <row r="382" spans="1:6">
      <c r="A382">
        <v>1618</v>
      </c>
      <c r="B382" t="s">
        <v>1300</v>
      </c>
      <c r="C382">
        <v>7.08</v>
      </c>
      <c r="D382">
        <f>VLOOKUP(A382,收盤價!A:C,3,0)</f>
        <v>7.02</v>
      </c>
      <c r="E382" s="85">
        <v>-8.47457627118651E-3</v>
      </c>
      <c r="F382">
        <v>75.87</v>
      </c>
    </row>
    <row r="383" spans="1:6">
      <c r="A383">
        <v>1603</v>
      </c>
      <c r="B383" t="s">
        <v>1288</v>
      </c>
      <c r="C383">
        <v>11.6</v>
      </c>
      <c r="D383">
        <f>VLOOKUP(A383,收盤價!A:C,3,0)</f>
        <v>11.85</v>
      </c>
      <c r="E383" s="85">
        <v>-8.6206896551723842E-3</v>
      </c>
      <c r="F383">
        <v>75.81</v>
      </c>
    </row>
    <row r="384" spans="1:6">
      <c r="A384">
        <v>6151</v>
      </c>
      <c r="B384" t="s">
        <v>2335</v>
      </c>
      <c r="C384">
        <v>23.05</v>
      </c>
      <c r="D384" t="e">
        <f>VLOOKUP(A384,收盤價!A:B,3,0)</f>
        <v>#REF!</v>
      </c>
      <c r="E384" s="85">
        <v>-8.6767895878524636E-3</v>
      </c>
      <c r="F384">
        <v>75.739999999999995</v>
      </c>
    </row>
    <row r="385" spans="1:6">
      <c r="A385">
        <v>3045</v>
      </c>
      <c r="B385" t="s">
        <v>1687</v>
      </c>
      <c r="C385">
        <v>103</v>
      </c>
      <c r="D385" t="e">
        <f>VLOOKUP(A385,收盤價!A:B,3,0)</f>
        <v>#REF!</v>
      </c>
      <c r="E385" s="85">
        <v>-9.7087378640776691E-3</v>
      </c>
      <c r="F385">
        <v>75.680000000000007</v>
      </c>
    </row>
    <row r="386" spans="1:6">
      <c r="A386">
        <v>6237</v>
      </c>
      <c r="B386" t="s">
        <v>522</v>
      </c>
      <c r="C386">
        <v>25.55</v>
      </c>
      <c r="D386" t="e">
        <f>VLOOKUP(A386,收盤價!A:B,3,0)</f>
        <v>#REF!</v>
      </c>
      <c r="E386" s="85">
        <v>-9.7847358121330719E-3</v>
      </c>
      <c r="F386">
        <v>75.62</v>
      </c>
    </row>
    <row r="387" spans="1:6">
      <c r="A387">
        <v>4995</v>
      </c>
      <c r="B387" t="s">
        <v>2240</v>
      </c>
      <c r="C387">
        <v>40.6</v>
      </c>
      <c r="D387" t="e">
        <f>VLOOKUP(A387,收盤價!A:B,3,0)</f>
        <v>#REF!</v>
      </c>
      <c r="E387" s="85">
        <v>-9.8522167487684383E-3</v>
      </c>
      <c r="F387">
        <v>75.55</v>
      </c>
    </row>
    <row r="388" spans="1:6">
      <c r="A388">
        <v>3323</v>
      </c>
      <c r="B388" t="s">
        <v>360</v>
      </c>
      <c r="C388">
        <v>19.75</v>
      </c>
      <c r="D388" t="e">
        <f>VLOOKUP(A388,收盤價!A:B,3,0)</f>
        <v>#REF!</v>
      </c>
      <c r="E388" s="85">
        <v>-1.0126582278480976E-2</v>
      </c>
      <c r="F388">
        <v>75.489999999999995</v>
      </c>
    </row>
    <row r="389" spans="1:6">
      <c r="A389">
        <v>5704</v>
      </c>
      <c r="B389" t="s">
        <v>2303</v>
      </c>
      <c r="C389">
        <v>28.5</v>
      </c>
      <c r="D389" t="e">
        <f>VLOOKUP(A389,收盤價!A:B,3,0)</f>
        <v>#REF!</v>
      </c>
      <c r="E389" s="85">
        <v>-1.052631578947371E-2</v>
      </c>
      <c r="F389">
        <v>75.430000000000007</v>
      </c>
    </row>
    <row r="390" spans="1:6">
      <c r="A390">
        <v>3504</v>
      </c>
      <c r="B390" t="s">
        <v>1739</v>
      </c>
      <c r="C390">
        <v>39.85</v>
      </c>
      <c r="D390" t="e">
        <f>VLOOKUP(A390,收盤價!A:B,3,0)</f>
        <v>#REF!</v>
      </c>
      <c r="E390" s="85">
        <v>-1.1292346298619894E-2</v>
      </c>
      <c r="F390">
        <v>75.36</v>
      </c>
    </row>
    <row r="391" spans="1:6">
      <c r="A391">
        <v>1468</v>
      </c>
      <c r="B391" t="s">
        <v>1240</v>
      </c>
      <c r="C391">
        <v>9.5</v>
      </c>
      <c r="D391">
        <f>VLOOKUP(A391,收盤價!A:C,3,0)</f>
        <v>9.35</v>
      </c>
      <c r="E391" s="85">
        <v>-1.1578947368420993E-2</v>
      </c>
      <c r="F391">
        <v>75.3</v>
      </c>
    </row>
    <row r="392" spans="1:6">
      <c r="A392">
        <v>8053</v>
      </c>
      <c r="B392" t="s">
        <v>2392</v>
      </c>
      <c r="C392">
        <v>1.72</v>
      </c>
      <c r="D392" t="e">
        <f>VLOOKUP(A392,收盤價!A:B,3,0)</f>
        <v>#REF!</v>
      </c>
      <c r="E392" s="85">
        <v>-1.1627906976744196E-2</v>
      </c>
      <c r="F392">
        <v>75.239999999999995</v>
      </c>
    </row>
    <row r="393" spans="1:6">
      <c r="A393">
        <v>8109</v>
      </c>
      <c r="B393" t="s">
        <v>2409</v>
      </c>
      <c r="C393">
        <v>62.6</v>
      </c>
      <c r="D393" t="e">
        <f>VLOOKUP(A393,收盤價!A:B,3,0)</f>
        <v>#REF!</v>
      </c>
      <c r="E393" s="85">
        <v>-1.2779552715655019E-2</v>
      </c>
      <c r="F393">
        <v>75.17</v>
      </c>
    </row>
    <row r="394" spans="1:6">
      <c r="A394">
        <v>1513</v>
      </c>
      <c r="B394" t="s">
        <v>1255</v>
      </c>
      <c r="C394">
        <v>17.850000000000001</v>
      </c>
      <c r="D394">
        <f>VLOOKUP(A394,收盤價!A:C,3,0)</f>
        <v>17.649999999999999</v>
      </c>
      <c r="E394" s="85">
        <v>-1.4005602240896357E-2</v>
      </c>
      <c r="F394">
        <v>75.11</v>
      </c>
    </row>
    <row r="395" spans="1:6">
      <c r="A395">
        <v>1777</v>
      </c>
      <c r="B395" t="s">
        <v>311</v>
      </c>
      <c r="C395">
        <v>75.2</v>
      </c>
      <c r="D395">
        <f>VLOOKUP(A395,收盤價!A:C,3,0)</f>
        <v>76.599999999999994</v>
      </c>
      <c r="E395" s="85">
        <v>-1.4627659574468198E-2</v>
      </c>
      <c r="F395">
        <v>75.05</v>
      </c>
    </row>
    <row r="396" spans="1:6">
      <c r="A396">
        <v>3310</v>
      </c>
      <c r="B396" t="s">
        <v>2109</v>
      </c>
      <c r="C396">
        <v>13.6</v>
      </c>
      <c r="D396" t="e">
        <f>VLOOKUP(A396,收盤價!A:B,3,0)</f>
        <v>#REF!</v>
      </c>
      <c r="E396" s="85">
        <v>-1.4705882352941124E-2</v>
      </c>
      <c r="F396">
        <v>74.98</v>
      </c>
    </row>
    <row r="397" spans="1:6">
      <c r="A397">
        <v>2101</v>
      </c>
      <c r="B397" t="s">
        <v>1380</v>
      </c>
      <c r="C397">
        <v>30.45</v>
      </c>
      <c r="D397">
        <f>VLOOKUP(A397,收盤價!A:C,3,0)</f>
        <v>29.35</v>
      </c>
      <c r="E397" s="85">
        <v>-1.4778325123152686E-2</v>
      </c>
      <c r="F397">
        <v>74.92</v>
      </c>
    </row>
    <row r="398" spans="1:6">
      <c r="A398">
        <v>8215</v>
      </c>
      <c r="B398" t="s">
        <v>1961</v>
      </c>
      <c r="C398">
        <v>23.35</v>
      </c>
      <c r="D398" t="e">
        <f>VLOOKUP(A398,收盤價!A:B,3,0)</f>
        <v>#REF!</v>
      </c>
      <c r="E398" s="85">
        <v>-1.4989293361884428E-2</v>
      </c>
      <c r="F398">
        <v>74.86</v>
      </c>
    </row>
    <row r="399" spans="1:6">
      <c r="A399">
        <v>6251</v>
      </c>
      <c r="B399" t="s">
        <v>1911</v>
      </c>
      <c r="C399">
        <v>10</v>
      </c>
      <c r="D399" t="e">
        <f>VLOOKUP(A399,收盤價!A:B,3,0)</f>
        <v>#REF!</v>
      </c>
      <c r="E399" s="85">
        <v>-1.5000000000000036E-2</v>
      </c>
      <c r="F399">
        <v>74.790000000000006</v>
      </c>
    </row>
    <row r="400" spans="1:6">
      <c r="A400">
        <v>6152</v>
      </c>
      <c r="B400" t="s">
        <v>1878</v>
      </c>
      <c r="C400">
        <v>9.15</v>
      </c>
      <c r="D400" t="e">
        <f>VLOOKUP(A400,收盤價!A:B,3,0)</f>
        <v>#REF!</v>
      </c>
      <c r="E400" s="85">
        <v>-1.5300546448087492E-2</v>
      </c>
      <c r="F400">
        <v>74.73</v>
      </c>
    </row>
    <row r="401" spans="1:6">
      <c r="A401">
        <v>6183</v>
      </c>
      <c r="B401" t="s">
        <v>1888</v>
      </c>
      <c r="C401">
        <v>25.9</v>
      </c>
      <c r="D401" t="e">
        <f>VLOOKUP(A401,收盤價!A:B,3,0)</f>
        <v>#REF!</v>
      </c>
      <c r="E401" s="85">
        <v>-1.5444015444015391E-2</v>
      </c>
      <c r="F401">
        <v>74.67</v>
      </c>
    </row>
    <row r="402" spans="1:6">
      <c r="A402">
        <v>8021</v>
      </c>
      <c r="B402" t="s">
        <v>1942</v>
      </c>
      <c r="C402">
        <v>25.8</v>
      </c>
      <c r="D402" t="e">
        <f>VLOOKUP(A402,收盤價!A:B,3,0)</f>
        <v>#REF!</v>
      </c>
      <c r="E402" s="85">
        <v>-1.5503875968992331E-2</v>
      </c>
      <c r="F402">
        <v>74.61</v>
      </c>
    </row>
    <row r="403" spans="1:6">
      <c r="A403">
        <v>6236</v>
      </c>
      <c r="B403" t="s">
        <v>521</v>
      </c>
      <c r="C403">
        <v>32.049999999999997</v>
      </c>
      <c r="D403" t="e">
        <f>VLOOKUP(A403,收盤價!A:B,3,0)</f>
        <v>#REF!</v>
      </c>
      <c r="E403" s="85">
        <v>-1.560062402496089E-2</v>
      </c>
      <c r="F403">
        <v>74.540000000000006</v>
      </c>
    </row>
    <row r="404" spans="1:6">
      <c r="A404">
        <v>6125</v>
      </c>
      <c r="B404" t="s">
        <v>496</v>
      </c>
      <c r="C404">
        <v>12.75</v>
      </c>
      <c r="D404" t="e">
        <f>VLOOKUP(A404,收盤價!A:B,3,0)</f>
        <v>#REF!</v>
      </c>
      <c r="E404" s="85">
        <v>-1.5686274509803866E-2</v>
      </c>
      <c r="F404">
        <v>74.48</v>
      </c>
    </row>
    <row r="405" spans="1:6">
      <c r="A405">
        <v>1724</v>
      </c>
      <c r="B405" t="s">
        <v>1320</v>
      </c>
      <c r="C405">
        <v>15.3</v>
      </c>
      <c r="D405">
        <f>VLOOKUP(A405,收盤價!A:C,3,0)</f>
        <v>14.95</v>
      </c>
      <c r="E405" s="85">
        <v>-1.6339869281045753E-2</v>
      </c>
      <c r="F405">
        <v>74.42</v>
      </c>
    </row>
    <row r="406" spans="1:6">
      <c r="A406">
        <v>3519</v>
      </c>
      <c r="B406" t="s">
        <v>1743</v>
      </c>
      <c r="C406">
        <v>15</v>
      </c>
      <c r="D406" t="e">
        <f>VLOOKUP(A406,收盤價!A:B,3,0)</f>
        <v>#REF!</v>
      </c>
      <c r="E406" s="85">
        <v>-1.6666666666666666E-2</v>
      </c>
      <c r="F406">
        <v>74.349999999999994</v>
      </c>
    </row>
    <row r="407" spans="1:6">
      <c r="A407">
        <v>2353</v>
      </c>
      <c r="B407" t="s">
        <v>1432</v>
      </c>
      <c r="C407">
        <v>14.95</v>
      </c>
      <c r="D407" t="e">
        <f>VLOOKUP(A407,收盤價!A:B,3,0)</f>
        <v>#REF!</v>
      </c>
      <c r="E407" s="85">
        <v>-1.6722408026755852E-2</v>
      </c>
      <c r="F407">
        <v>74.290000000000006</v>
      </c>
    </row>
    <row r="408" spans="1:6">
      <c r="A408">
        <v>2637</v>
      </c>
      <c r="B408" t="s">
        <v>1589</v>
      </c>
      <c r="C408">
        <v>38.200000000000003</v>
      </c>
      <c r="D408" t="e">
        <f>VLOOKUP(A408,收盤價!A:B,3,0)</f>
        <v>#REF!</v>
      </c>
      <c r="E408" s="85">
        <v>-1.7015706806282869E-2</v>
      </c>
      <c r="F408">
        <v>74.23</v>
      </c>
    </row>
    <row r="409" spans="1:6">
      <c r="A409">
        <v>8033</v>
      </c>
      <c r="B409" t="s">
        <v>1943</v>
      </c>
      <c r="C409">
        <v>9.31</v>
      </c>
      <c r="D409" t="e">
        <f>VLOOKUP(A409,收盤價!A:B,3,0)</f>
        <v>#REF!</v>
      </c>
      <c r="E409" s="85">
        <v>-1.7185821697099906E-2</v>
      </c>
      <c r="F409">
        <v>74.16</v>
      </c>
    </row>
    <row r="410" spans="1:6">
      <c r="A410">
        <v>1232</v>
      </c>
      <c r="B410" t="s">
        <v>1170</v>
      </c>
      <c r="C410">
        <v>75</v>
      </c>
      <c r="D410">
        <f>VLOOKUP(A410,收盤價!A:C,3,0)</f>
        <v>73.5</v>
      </c>
      <c r="E410" s="85">
        <v>-1.7333333333333294E-2</v>
      </c>
      <c r="F410">
        <v>74.099999999999994</v>
      </c>
    </row>
    <row r="411" spans="1:6">
      <c r="A411">
        <v>1907</v>
      </c>
      <c r="B411" t="s">
        <v>1349</v>
      </c>
      <c r="C411">
        <v>11.3</v>
      </c>
      <c r="D411">
        <f>VLOOKUP(A411,收盤價!A:C,3,0)</f>
        <v>11.1</v>
      </c>
      <c r="E411" s="85">
        <v>-1.7699115044247881E-2</v>
      </c>
      <c r="F411">
        <v>74.040000000000006</v>
      </c>
    </row>
    <row r="412" spans="1:6">
      <c r="A412">
        <v>2330</v>
      </c>
      <c r="B412" t="s">
        <v>1418</v>
      </c>
      <c r="C412">
        <v>140.5</v>
      </c>
      <c r="D412">
        <f>VLOOKUP(A412,收盤價!A:C,3,0)</f>
        <v>137.5</v>
      </c>
      <c r="E412" s="85">
        <v>-1.7793594306049824E-2</v>
      </c>
      <c r="F412">
        <v>73.97</v>
      </c>
    </row>
    <row r="413" spans="1:6">
      <c r="A413">
        <v>1589</v>
      </c>
      <c r="B413" t="s">
        <v>1285</v>
      </c>
      <c r="C413">
        <v>224.5</v>
      </c>
      <c r="D413">
        <f>VLOOKUP(A413,收盤價!A:C,3,0)</f>
        <v>219.5</v>
      </c>
      <c r="E413" s="85">
        <v>-1.7817371937639197E-2</v>
      </c>
      <c r="F413">
        <v>73.91</v>
      </c>
    </row>
    <row r="414" spans="1:6">
      <c r="A414">
        <v>6113</v>
      </c>
      <c r="B414" t="s">
        <v>2318</v>
      </c>
      <c r="C414">
        <v>8.69</v>
      </c>
      <c r="D414" t="e">
        <f>VLOOKUP(A414,收盤價!A:B,3,0)</f>
        <v>#REF!</v>
      </c>
      <c r="E414" s="85">
        <v>-1.8411967779056404E-2</v>
      </c>
      <c r="F414">
        <v>73.849999999999994</v>
      </c>
    </row>
    <row r="415" spans="1:6">
      <c r="A415">
        <v>5516</v>
      </c>
      <c r="B415" t="s">
        <v>2295</v>
      </c>
      <c r="C415">
        <v>10.65</v>
      </c>
      <c r="D415" t="e">
        <f>VLOOKUP(A415,收盤價!A:B,3,0)</f>
        <v>#REF!</v>
      </c>
      <c r="E415" s="85">
        <v>-1.8779342723004796E-2</v>
      </c>
      <c r="F415">
        <v>73.78</v>
      </c>
    </row>
    <row r="416" spans="1:6">
      <c r="A416">
        <v>2390</v>
      </c>
      <c r="B416" t="s">
        <v>1461</v>
      </c>
      <c r="C416">
        <v>23.4</v>
      </c>
      <c r="D416" t="e">
        <f>VLOOKUP(A416,收盤價!A:B,3,0)</f>
        <v>#REF!</v>
      </c>
      <c r="E416" s="85">
        <v>-1.9230769230769201E-2</v>
      </c>
      <c r="F416">
        <v>73.72</v>
      </c>
    </row>
    <row r="417" spans="1:6">
      <c r="A417">
        <v>5102</v>
      </c>
      <c r="B417" t="s">
        <v>446</v>
      </c>
      <c r="C417">
        <v>14.65</v>
      </c>
      <c r="D417" t="e">
        <f>VLOOKUP(A417,收盤價!A:B,3,0)</f>
        <v>#REF!</v>
      </c>
      <c r="E417" s="85">
        <v>-2.0477815699658751E-2</v>
      </c>
      <c r="F417">
        <v>73.66</v>
      </c>
    </row>
    <row r="418" spans="1:6">
      <c r="A418">
        <v>5483</v>
      </c>
      <c r="B418" t="s">
        <v>2286</v>
      </c>
      <c r="C418">
        <v>39</v>
      </c>
      <c r="D418" t="e">
        <f>VLOOKUP(A418,收盤價!A:B,3,0)</f>
        <v>#REF!</v>
      </c>
      <c r="E418" s="85">
        <v>-2.051282051282044E-2</v>
      </c>
      <c r="F418">
        <v>73.59</v>
      </c>
    </row>
    <row r="419" spans="1:6">
      <c r="A419">
        <v>8450</v>
      </c>
      <c r="B419" t="s">
        <v>565</v>
      </c>
      <c r="C419">
        <v>85</v>
      </c>
      <c r="D419" t="e">
        <f>VLOOKUP(A419,收盤價!A:B,3,0)</f>
        <v>#REF!</v>
      </c>
      <c r="E419" s="85">
        <v>-2.1176470588235262E-2</v>
      </c>
      <c r="F419">
        <v>73.53</v>
      </c>
    </row>
    <row r="420" spans="1:6">
      <c r="A420">
        <v>1586</v>
      </c>
      <c r="B420" t="s">
        <v>2047</v>
      </c>
      <c r="C420">
        <v>22.65</v>
      </c>
      <c r="D420">
        <f>VLOOKUP(A420,收盤價!A:C,3,0)</f>
        <v>22.45</v>
      </c>
      <c r="E420" s="85">
        <v>-2.2075055187637971E-2</v>
      </c>
      <c r="F420">
        <v>73.47</v>
      </c>
    </row>
    <row r="421" spans="1:6">
      <c r="A421">
        <v>2305</v>
      </c>
      <c r="B421" t="s">
        <v>1403</v>
      </c>
      <c r="C421">
        <v>7.48</v>
      </c>
      <c r="D421">
        <f>VLOOKUP(A421,收盤價!A:C,3,0)</f>
        <v>7.3</v>
      </c>
      <c r="E421" s="85">
        <v>-2.2727272727272835E-2</v>
      </c>
      <c r="F421">
        <v>73.400000000000006</v>
      </c>
    </row>
    <row r="422" spans="1:6">
      <c r="A422">
        <v>6128</v>
      </c>
      <c r="B422" t="s">
        <v>1870</v>
      </c>
      <c r="C422">
        <v>35</v>
      </c>
      <c r="D422" t="e">
        <f>VLOOKUP(A422,收盤價!A:B,3,0)</f>
        <v>#REF!</v>
      </c>
      <c r="E422" s="85">
        <v>-2.2857142857142777E-2</v>
      </c>
      <c r="F422">
        <v>73.34</v>
      </c>
    </row>
    <row r="423" spans="1:6">
      <c r="A423">
        <v>1434</v>
      </c>
      <c r="B423" t="s">
        <v>1211</v>
      </c>
      <c r="C423">
        <v>32.75</v>
      </c>
      <c r="D423">
        <f>VLOOKUP(A423,收盤價!A:C,3,0)</f>
        <v>31.85</v>
      </c>
      <c r="E423" s="85">
        <v>-2.2900763358778626E-2</v>
      </c>
      <c r="F423">
        <v>73.28</v>
      </c>
    </row>
    <row r="424" spans="1:6">
      <c r="A424">
        <v>8940</v>
      </c>
      <c r="B424" t="s">
        <v>1977</v>
      </c>
      <c r="C424">
        <v>16.899999999999999</v>
      </c>
      <c r="D424" t="e">
        <f>VLOOKUP(A424,收盤價!A:B,3,0)</f>
        <v>#REF!</v>
      </c>
      <c r="E424" s="85">
        <v>-2.3668639053254354E-2</v>
      </c>
      <c r="F424">
        <v>73.22</v>
      </c>
    </row>
    <row r="425" spans="1:6">
      <c r="A425">
        <v>2495</v>
      </c>
      <c r="B425" t="s">
        <v>1539</v>
      </c>
      <c r="C425">
        <v>14.7</v>
      </c>
      <c r="D425" t="e">
        <f>VLOOKUP(A425,收盤價!A:B,3,0)</f>
        <v>#REF!</v>
      </c>
      <c r="E425" s="85">
        <v>-2.3809523809523787E-2</v>
      </c>
      <c r="F425">
        <v>73.150000000000006</v>
      </c>
    </row>
    <row r="426" spans="1:6">
      <c r="A426">
        <v>3474</v>
      </c>
      <c r="B426" t="s">
        <v>1735</v>
      </c>
      <c r="C426">
        <v>24.6</v>
      </c>
      <c r="D426" t="e">
        <f>VLOOKUP(A426,收盤價!A:B,3,0)</f>
        <v>#REF!</v>
      </c>
      <c r="E426" s="85">
        <v>-2.4390243902439081E-2</v>
      </c>
      <c r="F426">
        <v>73.09</v>
      </c>
    </row>
    <row r="427" spans="1:6">
      <c r="A427">
        <v>1101</v>
      </c>
      <c r="B427" t="s">
        <v>1150</v>
      </c>
      <c r="C427">
        <v>38.950000000000003</v>
      </c>
      <c r="D427">
        <f>VLOOKUP(A427,收盤價!A:C,3,0)</f>
        <v>36.5</v>
      </c>
      <c r="E427" s="85">
        <v>-2.4390243902439095E-2</v>
      </c>
      <c r="F427">
        <v>73.03</v>
      </c>
    </row>
    <row r="428" spans="1:6">
      <c r="A428">
        <v>3041</v>
      </c>
      <c r="B428" t="s">
        <v>1683</v>
      </c>
      <c r="C428">
        <v>16.05</v>
      </c>
      <c r="D428" t="e">
        <f>VLOOKUP(A428,收盤價!A:B,3,0)</f>
        <v>#REF!</v>
      </c>
      <c r="E428" s="85">
        <v>-2.4922118380062325E-2</v>
      </c>
      <c r="F428">
        <v>72.959999999999994</v>
      </c>
    </row>
    <row r="429" spans="1:6">
      <c r="A429">
        <v>8249</v>
      </c>
      <c r="B429" t="s">
        <v>1963</v>
      </c>
      <c r="C429">
        <v>23.4</v>
      </c>
      <c r="D429" t="e">
        <f>VLOOKUP(A429,收盤價!A:B,3,0)</f>
        <v>#REF!</v>
      </c>
      <c r="E429" s="85">
        <v>-2.564102564102555E-2</v>
      </c>
      <c r="F429">
        <v>72.900000000000006</v>
      </c>
    </row>
    <row r="430" spans="1:6">
      <c r="A430">
        <v>6198</v>
      </c>
      <c r="B430" t="s">
        <v>2346</v>
      </c>
      <c r="C430">
        <v>15.6</v>
      </c>
      <c r="D430" t="e">
        <f>VLOOKUP(A430,收盤價!A:B,3,0)</f>
        <v>#REF!</v>
      </c>
      <c r="E430" s="85">
        <v>-2.5641025641025664E-2</v>
      </c>
      <c r="F430">
        <v>72.84</v>
      </c>
    </row>
    <row r="431" spans="1:6">
      <c r="A431">
        <v>3071</v>
      </c>
      <c r="B431" t="s">
        <v>2073</v>
      </c>
      <c r="C431">
        <v>6.88</v>
      </c>
      <c r="D431" t="e">
        <f>VLOOKUP(A431,收盤價!A:B,3,0)</f>
        <v>#REF!</v>
      </c>
      <c r="E431" s="85">
        <v>-2.6162790697674378E-2</v>
      </c>
      <c r="F431">
        <v>72.77</v>
      </c>
    </row>
    <row r="432" spans="1:6">
      <c r="A432">
        <v>5014</v>
      </c>
      <c r="B432" t="s">
        <v>2242</v>
      </c>
      <c r="C432">
        <v>8.75</v>
      </c>
      <c r="D432" t="e">
        <f>VLOOKUP(A432,收盤價!A:B,3,0)</f>
        <v>#REF!</v>
      </c>
      <c r="E432" s="85">
        <v>-2.6285714285714336E-2</v>
      </c>
      <c r="F432">
        <v>72.709999999999994</v>
      </c>
    </row>
    <row r="433" spans="1:6">
      <c r="A433">
        <v>4205</v>
      </c>
      <c r="B433" t="s">
        <v>2189</v>
      </c>
      <c r="C433">
        <v>38</v>
      </c>
      <c r="D433" t="e">
        <f>VLOOKUP(A433,收盤價!A:B,3,0)</f>
        <v>#REF!</v>
      </c>
      <c r="E433" s="85">
        <v>-2.6315789473684209E-2</v>
      </c>
      <c r="F433">
        <v>72.650000000000006</v>
      </c>
    </row>
    <row r="434" spans="1:6">
      <c r="A434">
        <v>2506</v>
      </c>
      <c r="B434" t="s">
        <v>1547</v>
      </c>
      <c r="C434">
        <v>17.100000000000001</v>
      </c>
      <c r="D434" t="e">
        <f>VLOOKUP(A434,收盤價!A:B,3,0)</f>
        <v>#REF!</v>
      </c>
      <c r="E434" s="85">
        <v>-2.6315789473684376E-2</v>
      </c>
      <c r="F434">
        <v>72.58</v>
      </c>
    </row>
    <row r="435" spans="1:6">
      <c r="A435">
        <v>6271</v>
      </c>
      <c r="B435" t="s">
        <v>1914</v>
      </c>
      <c r="C435">
        <v>87.1</v>
      </c>
      <c r="D435" t="e">
        <f>VLOOKUP(A435,收盤價!A:B,3,0)</f>
        <v>#REF!</v>
      </c>
      <c r="E435" s="85">
        <v>-2.6406429391503988E-2</v>
      </c>
      <c r="F435">
        <v>72.52</v>
      </c>
    </row>
    <row r="436" spans="1:6">
      <c r="A436">
        <v>2832</v>
      </c>
      <c r="B436" t="s">
        <v>1608</v>
      </c>
      <c r="C436">
        <v>22.65</v>
      </c>
      <c r="D436" t="e">
        <f>VLOOKUP(A436,收盤價!A:B,3,0)</f>
        <v>#REF!</v>
      </c>
      <c r="E436" s="85">
        <v>-2.6490066225165469E-2</v>
      </c>
      <c r="F436">
        <v>72.459999999999994</v>
      </c>
    </row>
    <row r="437" spans="1:6">
      <c r="A437">
        <v>3092</v>
      </c>
      <c r="B437" t="s">
        <v>330</v>
      </c>
      <c r="C437">
        <v>15</v>
      </c>
      <c r="D437" t="e">
        <f>VLOOKUP(A437,收盤價!A:B,3,0)</f>
        <v>#REF!</v>
      </c>
      <c r="E437" s="85">
        <v>-2.6666666666666689E-2</v>
      </c>
      <c r="F437">
        <v>72.39</v>
      </c>
    </row>
    <row r="438" spans="1:6">
      <c r="A438">
        <v>5305</v>
      </c>
      <c r="B438" t="s">
        <v>1841</v>
      </c>
      <c r="C438">
        <v>24.05</v>
      </c>
      <c r="D438" t="e">
        <f>VLOOKUP(A438,收盤價!A:B,3,0)</f>
        <v>#REF!</v>
      </c>
      <c r="E438" s="85">
        <v>-2.7027027027027115E-2</v>
      </c>
      <c r="F438">
        <v>72.33</v>
      </c>
    </row>
    <row r="439" spans="1:6">
      <c r="A439">
        <v>9937</v>
      </c>
      <c r="B439" t="s">
        <v>2028</v>
      </c>
      <c r="C439">
        <v>36.9</v>
      </c>
      <c r="D439" t="e">
        <f>VLOOKUP(A439,收盤價!A:B,3,0)</f>
        <v>#REF!</v>
      </c>
      <c r="E439" s="85">
        <v>-2.7100271002710029E-2</v>
      </c>
      <c r="F439">
        <v>72.27</v>
      </c>
    </row>
    <row r="440" spans="1:6">
      <c r="A440">
        <v>1560</v>
      </c>
      <c r="B440" t="s">
        <v>1281</v>
      </c>
      <c r="C440">
        <v>58.8</v>
      </c>
      <c r="D440">
        <f>VLOOKUP(A440,收盤價!A:C,3,0)</f>
        <v>56.5</v>
      </c>
      <c r="E440" s="85">
        <v>-2.7210884353741402E-2</v>
      </c>
      <c r="F440">
        <v>72.2</v>
      </c>
    </row>
    <row r="441" spans="1:6">
      <c r="A441">
        <v>2014</v>
      </c>
      <c r="B441" t="s">
        <v>1360</v>
      </c>
      <c r="C441">
        <v>5.07</v>
      </c>
      <c r="D441">
        <f>VLOOKUP(A441,收盤價!A:C,3,0)</f>
        <v>4.95</v>
      </c>
      <c r="E441" s="85">
        <v>-2.7613412228796954E-2</v>
      </c>
      <c r="F441">
        <v>72.14</v>
      </c>
    </row>
    <row r="442" spans="1:6">
      <c r="A442">
        <v>2464</v>
      </c>
      <c r="B442" t="s">
        <v>1516</v>
      </c>
      <c r="C442">
        <v>28.85</v>
      </c>
      <c r="D442" t="e">
        <f>VLOOKUP(A442,收盤價!A:B,3,0)</f>
        <v>#REF!</v>
      </c>
      <c r="E442" s="85">
        <v>-2.7729636048526886E-2</v>
      </c>
      <c r="F442">
        <v>72.08</v>
      </c>
    </row>
    <row r="443" spans="1:6">
      <c r="A443">
        <v>1438</v>
      </c>
      <c r="B443" t="s">
        <v>1215</v>
      </c>
      <c r="C443">
        <v>5.04</v>
      </c>
      <c r="D443">
        <f>VLOOKUP(A443,收盤價!A:C,3,0)</f>
        <v>4.97</v>
      </c>
      <c r="E443" s="85">
        <v>-2.7777777777777714E-2</v>
      </c>
      <c r="F443">
        <v>72.02</v>
      </c>
    </row>
    <row r="444" spans="1:6">
      <c r="A444">
        <v>3559</v>
      </c>
      <c r="B444" t="s">
        <v>1751</v>
      </c>
      <c r="C444">
        <v>21.5</v>
      </c>
      <c r="D444" t="e">
        <f>VLOOKUP(A444,收盤價!A:B,3,0)</f>
        <v>#REF!</v>
      </c>
      <c r="E444" s="85">
        <v>-2.7906976744186112E-2</v>
      </c>
      <c r="F444">
        <v>71.95</v>
      </c>
    </row>
    <row r="445" spans="1:6">
      <c r="A445">
        <v>1108</v>
      </c>
      <c r="B445" t="s">
        <v>1154</v>
      </c>
      <c r="C445">
        <v>10.6</v>
      </c>
      <c r="D445">
        <f>VLOOKUP(A445,收盤價!A:C,3,0)</f>
        <v>10.3</v>
      </c>
      <c r="E445" s="85">
        <v>-2.830188679245273E-2</v>
      </c>
      <c r="F445">
        <v>71.89</v>
      </c>
    </row>
    <row r="446" spans="1:6">
      <c r="A446">
        <v>6456</v>
      </c>
      <c r="B446" t="s">
        <v>1935</v>
      </c>
      <c r="C446">
        <v>122</v>
      </c>
      <c r="D446" t="e">
        <f>VLOOKUP(A446,收盤價!A:B,3,0)</f>
        <v>#REF!</v>
      </c>
      <c r="E446" s="85">
        <v>-2.8688524590163935E-2</v>
      </c>
      <c r="F446">
        <v>71.83</v>
      </c>
    </row>
    <row r="447" spans="1:6">
      <c r="A447">
        <v>2729</v>
      </c>
      <c r="B447" t="s">
        <v>2066</v>
      </c>
      <c r="C447">
        <v>243</v>
      </c>
      <c r="D447" t="e">
        <f>VLOOKUP(A447,收盤價!A:B,3,0)</f>
        <v>#REF!</v>
      </c>
      <c r="E447" s="85">
        <v>-2.8806584362139918E-2</v>
      </c>
      <c r="F447">
        <v>71.760000000000005</v>
      </c>
    </row>
    <row r="448" spans="1:6">
      <c r="A448">
        <v>2923</v>
      </c>
      <c r="B448" t="s">
        <v>1648</v>
      </c>
      <c r="C448">
        <v>24</v>
      </c>
      <c r="D448" t="e">
        <f>VLOOKUP(A448,收盤價!A:B,3,0)</f>
        <v>#REF!</v>
      </c>
      <c r="E448" s="85">
        <v>-2.9166666666666636E-2</v>
      </c>
      <c r="F448">
        <v>71.7</v>
      </c>
    </row>
    <row r="449" spans="1:6">
      <c r="A449">
        <v>3516</v>
      </c>
      <c r="B449" t="s">
        <v>378</v>
      </c>
      <c r="C449">
        <v>8.9</v>
      </c>
      <c r="D449" t="e">
        <f>VLOOKUP(A449,收盤價!A:B,3,0)</f>
        <v>#REF!</v>
      </c>
      <c r="E449" s="85">
        <v>-2.9213483146067389E-2</v>
      </c>
      <c r="F449">
        <v>71.64</v>
      </c>
    </row>
    <row r="450" spans="1:6">
      <c r="A450">
        <v>5210</v>
      </c>
      <c r="B450" t="s">
        <v>448</v>
      </c>
      <c r="C450">
        <v>7.53</v>
      </c>
      <c r="D450" t="e">
        <f>VLOOKUP(A450,收盤價!A:B,3,0)</f>
        <v>#REF!</v>
      </c>
      <c r="E450" s="85">
        <v>-2.9216467463479501E-2</v>
      </c>
      <c r="F450">
        <v>71.569999999999993</v>
      </c>
    </row>
    <row r="451" spans="1:6">
      <c r="A451">
        <v>6233</v>
      </c>
      <c r="B451" t="s">
        <v>2357</v>
      </c>
      <c r="C451">
        <v>13.65</v>
      </c>
      <c r="D451" t="e">
        <f>VLOOKUP(A451,收盤價!A:B,3,0)</f>
        <v>#REF!</v>
      </c>
      <c r="E451" s="85">
        <v>-2.9304029304029328E-2</v>
      </c>
      <c r="F451">
        <v>71.510000000000005</v>
      </c>
    </row>
    <row r="452" spans="1:6">
      <c r="A452">
        <v>2483</v>
      </c>
      <c r="B452" t="s">
        <v>1530</v>
      </c>
      <c r="C452">
        <v>18.45</v>
      </c>
      <c r="D452" t="e">
        <f>VLOOKUP(A452,收盤價!A:B,3,0)</f>
        <v>#REF!</v>
      </c>
      <c r="E452" s="85">
        <v>-2.9810298102981071E-2</v>
      </c>
      <c r="F452">
        <v>71.45</v>
      </c>
    </row>
    <row r="453" spans="1:6">
      <c r="A453">
        <v>9188</v>
      </c>
      <c r="B453" t="s">
        <v>2001</v>
      </c>
      <c r="C453">
        <v>4.0199999999999996</v>
      </c>
      <c r="D453" t="e">
        <f>VLOOKUP(A453,收盤價!A:B,3,0)</f>
        <v>#REF!</v>
      </c>
      <c r="E453" s="85">
        <v>-2.9850746268656636E-2</v>
      </c>
      <c r="F453">
        <v>71.38</v>
      </c>
    </row>
    <row r="454" spans="1:6">
      <c r="A454">
        <v>8064</v>
      </c>
      <c r="B454" t="s">
        <v>544</v>
      </c>
      <c r="C454">
        <v>13.3</v>
      </c>
      <c r="D454" t="e">
        <f>VLOOKUP(A454,收盤價!A:B,3,0)</f>
        <v>#REF!</v>
      </c>
      <c r="E454" s="85">
        <v>-3.0075187969924838E-2</v>
      </c>
      <c r="F454">
        <v>71.319999999999993</v>
      </c>
    </row>
    <row r="455" spans="1:6">
      <c r="A455">
        <v>2460</v>
      </c>
      <c r="B455" t="s">
        <v>1513</v>
      </c>
      <c r="C455">
        <v>9.8800000000000008</v>
      </c>
      <c r="D455" t="e">
        <f>VLOOKUP(A455,收盤價!A:B,3,0)</f>
        <v>#REF!</v>
      </c>
      <c r="E455" s="85">
        <v>-3.0364372469635696E-2</v>
      </c>
      <c r="F455">
        <v>71.260000000000005</v>
      </c>
    </row>
    <row r="456" spans="1:6">
      <c r="A456">
        <v>2908</v>
      </c>
      <c r="B456" t="s">
        <v>1642</v>
      </c>
      <c r="C456">
        <v>21.2</v>
      </c>
      <c r="D456" t="e">
        <f>VLOOKUP(A456,收盤價!A:B,3,0)</f>
        <v>#REF!</v>
      </c>
      <c r="E456" s="85">
        <v>-3.06603773584905E-2</v>
      </c>
      <c r="F456">
        <v>71.19</v>
      </c>
    </row>
    <row r="457" spans="1:6">
      <c r="A457">
        <v>3338</v>
      </c>
      <c r="B457" t="s">
        <v>1721</v>
      </c>
      <c r="C457">
        <v>24.45</v>
      </c>
      <c r="D457" t="e">
        <f>VLOOKUP(A457,收盤價!A:B,3,0)</f>
        <v>#REF!</v>
      </c>
      <c r="E457" s="85">
        <v>-3.0674846625766871E-2</v>
      </c>
      <c r="F457">
        <v>71.13</v>
      </c>
    </row>
    <row r="458" spans="1:6">
      <c r="A458">
        <v>4121</v>
      </c>
      <c r="B458" t="s">
        <v>2172</v>
      </c>
      <c r="C458">
        <v>11.4</v>
      </c>
      <c r="D458" t="e">
        <f>VLOOKUP(A458,收盤價!A:B,3,0)</f>
        <v>#REF!</v>
      </c>
      <c r="E458" s="85">
        <v>-3.0701754385964879E-2</v>
      </c>
      <c r="F458">
        <v>71.069999999999993</v>
      </c>
    </row>
    <row r="459" spans="1:6">
      <c r="A459">
        <v>2201</v>
      </c>
      <c r="B459" t="s">
        <v>1391</v>
      </c>
      <c r="C459">
        <v>35.799999999999997</v>
      </c>
      <c r="D459">
        <f>VLOOKUP(A459,收盤價!A:C,3,0)</f>
        <v>34.15</v>
      </c>
      <c r="E459" s="85">
        <v>-3.0726256983240066E-2</v>
      </c>
      <c r="F459">
        <v>71</v>
      </c>
    </row>
    <row r="460" spans="1:6">
      <c r="A460">
        <v>5601</v>
      </c>
      <c r="B460" t="s">
        <v>2299</v>
      </c>
      <c r="C460">
        <v>27.45</v>
      </c>
      <c r="D460" t="e">
        <f>VLOOKUP(A460,收盤價!A:B,3,0)</f>
        <v>#REF!</v>
      </c>
      <c r="E460" s="85">
        <v>-3.0965391621129251E-2</v>
      </c>
      <c r="F460">
        <v>70.94</v>
      </c>
    </row>
    <row r="461" spans="1:6">
      <c r="A461">
        <v>2801</v>
      </c>
      <c r="B461" t="s">
        <v>1602</v>
      </c>
      <c r="C461">
        <v>17.7</v>
      </c>
      <c r="D461" t="e">
        <f>VLOOKUP(A461,收盤價!A:B,3,0)</f>
        <v>#REF!</v>
      </c>
      <c r="E461" s="85">
        <v>-3.1073446327683656E-2</v>
      </c>
      <c r="F461">
        <v>70.88</v>
      </c>
    </row>
    <row r="462" spans="1:6">
      <c r="A462">
        <v>2836</v>
      </c>
      <c r="B462" t="s">
        <v>1610</v>
      </c>
      <c r="C462">
        <v>9.31</v>
      </c>
      <c r="D462" t="e">
        <f>VLOOKUP(A462,收盤價!A:B,3,0)</f>
        <v>#REF!</v>
      </c>
      <c r="E462" s="85">
        <v>-3.1149301825993653E-2</v>
      </c>
      <c r="F462">
        <v>70.81</v>
      </c>
    </row>
    <row r="463" spans="1:6">
      <c r="A463">
        <v>2450</v>
      </c>
      <c r="B463" t="s">
        <v>1504</v>
      </c>
      <c r="C463">
        <v>48</v>
      </c>
      <c r="D463" t="e">
        <f>VLOOKUP(A463,收盤價!A:B,3,0)</f>
        <v>#REF!</v>
      </c>
      <c r="E463" s="85">
        <v>-3.125E-2</v>
      </c>
      <c r="F463">
        <v>70.75</v>
      </c>
    </row>
    <row r="464" spans="1:6">
      <c r="A464">
        <v>3023</v>
      </c>
      <c r="B464" t="s">
        <v>1666</v>
      </c>
      <c r="C464">
        <v>57.5</v>
      </c>
      <c r="D464" t="e">
        <f>VLOOKUP(A464,收盤價!A:B,3,0)</f>
        <v>#REF!</v>
      </c>
      <c r="E464" s="85">
        <v>-3.130434782608691E-2</v>
      </c>
      <c r="F464">
        <v>70.69</v>
      </c>
    </row>
    <row r="465" spans="1:6">
      <c r="A465">
        <v>2851</v>
      </c>
      <c r="B465" t="s">
        <v>1617</v>
      </c>
      <c r="C465">
        <v>15.95</v>
      </c>
      <c r="D465" t="e">
        <f>VLOOKUP(A465,收盤價!A:B,3,0)</f>
        <v>#REF!</v>
      </c>
      <c r="E465" s="85">
        <v>-3.1347962382445145E-2</v>
      </c>
      <c r="F465">
        <v>70.63</v>
      </c>
    </row>
    <row r="466" spans="1:6">
      <c r="A466">
        <v>2015</v>
      </c>
      <c r="B466" t="s">
        <v>1361</v>
      </c>
      <c r="C466">
        <v>39.700000000000003</v>
      </c>
      <c r="D466">
        <f>VLOOKUP(A466,收盤價!A:C,3,0)</f>
        <v>38.299999999999997</v>
      </c>
      <c r="E466" s="85">
        <v>-3.1486146095717885E-2</v>
      </c>
      <c r="F466">
        <v>70.56</v>
      </c>
    </row>
    <row r="467" spans="1:6">
      <c r="A467">
        <v>2537</v>
      </c>
      <c r="B467" t="s">
        <v>1561</v>
      </c>
      <c r="C467">
        <v>9.7100000000000009</v>
      </c>
      <c r="D467" t="e">
        <f>VLOOKUP(A467,收盤價!A:B,3,0)</f>
        <v>#REF!</v>
      </c>
      <c r="E467" s="85">
        <v>-3.1925849639546908E-2</v>
      </c>
      <c r="F467">
        <v>70.5</v>
      </c>
    </row>
    <row r="468" spans="1:6">
      <c r="A468">
        <v>8906</v>
      </c>
      <c r="B468" t="s">
        <v>2441</v>
      </c>
      <c r="C468">
        <v>8.75</v>
      </c>
      <c r="D468" t="e">
        <f>VLOOKUP(A468,收盤價!A:B,3,0)</f>
        <v>#REF!</v>
      </c>
      <c r="E468" s="85">
        <v>-3.1999999999999924E-2</v>
      </c>
      <c r="F468">
        <v>70.44</v>
      </c>
    </row>
    <row r="469" spans="1:6">
      <c r="A469">
        <v>6609</v>
      </c>
      <c r="B469" t="s">
        <v>540</v>
      </c>
      <c r="C469">
        <v>29.4</v>
      </c>
      <c r="D469" t="e">
        <f>VLOOKUP(A469,收盤價!A:B,3,0)</f>
        <v>#REF!</v>
      </c>
      <c r="E469" s="85">
        <v>-3.2312925170068008E-2</v>
      </c>
      <c r="F469">
        <v>70.37</v>
      </c>
    </row>
    <row r="470" spans="1:6">
      <c r="A470">
        <v>3078</v>
      </c>
      <c r="B470" t="s">
        <v>2075</v>
      </c>
      <c r="C470">
        <v>18.25</v>
      </c>
      <c r="D470" t="e">
        <f>VLOOKUP(A470,收盤價!A:B,3,0)</f>
        <v>#REF!</v>
      </c>
      <c r="E470" s="85">
        <v>-3.2876712328767203E-2</v>
      </c>
      <c r="F470">
        <v>70.31</v>
      </c>
    </row>
    <row r="471" spans="1:6">
      <c r="A471">
        <v>5520</v>
      </c>
      <c r="B471" t="s">
        <v>2296</v>
      </c>
      <c r="C471">
        <v>26.9</v>
      </c>
      <c r="D471" t="e">
        <f>VLOOKUP(A471,收盤價!A:B,3,0)</f>
        <v>#REF!</v>
      </c>
      <c r="E471" s="85">
        <v>-3.3457249070631918E-2</v>
      </c>
      <c r="F471">
        <v>70.25</v>
      </c>
    </row>
    <row r="472" spans="1:6">
      <c r="A472">
        <v>3687</v>
      </c>
      <c r="B472" t="s">
        <v>402</v>
      </c>
      <c r="C472">
        <v>68.5</v>
      </c>
      <c r="D472" t="e">
        <f>VLOOKUP(A472,收盤價!A:B,3,0)</f>
        <v>#REF!</v>
      </c>
      <c r="E472" s="85">
        <v>-3.3576642335766384E-2</v>
      </c>
      <c r="F472">
        <v>70.180000000000007</v>
      </c>
    </row>
    <row r="473" spans="1:6">
      <c r="A473">
        <v>1701</v>
      </c>
      <c r="B473" t="s">
        <v>1302</v>
      </c>
      <c r="C473">
        <v>19.3</v>
      </c>
      <c r="D473">
        <f>VLOOKUP(A473,收盤價!A:C,3,0)</f>
        <v>19</v>
      </c>
      <c r="E473" s="85">
        <v>-3.3678756476684044E-2</v>
      </c>
      <c r="F473">
        <v>70.12</v>
      </c>
    </row>
    <row r="474" spans="1:6">
      <c r="A474">
        <v>6140</v>
      </c>
      <c r="B474" t="s">
        <v>2329</v>
      </c>
      <c r="C474">
        <v>11.65</v>
      </c>
      <c r="D474" t="e">
        <f>VLOOKUP(A474,收盤價!A:B,3,0)</f>
        <v>#REF!</v>
      </c>
      <c r="E474" s="85">
        <v>-3.4334763948497882E-2</v>
      </c>
      <c r="F474">
        <v>70.06</v>
      </c>
    </row>
    <row r="475" spans="1:6">
      <c r="A475">
        <v>3679</v>
      </c>
      <c r="B475" t="s">
        <v>1773</v>
      </c>
      <c r="C475">
        <v>43.5</v>
      </c>
      <c r="D475" t="e">
        <f>VLOOKUP(A475,收盤價!A:B,3,0)</f>
        <v>#REF!</v>
      </c>
      <c r="E475" s="85">
        <v>-3.4482758620689655E-2</v>
      </c>
      <c r="F475">
        <v>69.989999999999995</v>
      </c>
    </row>
    <row r="476" spans="1:6">
      <c r="A476">
        <v>3285</v>
      </c>
      <c r="B476" t="s">
        <v>353</v>
      </c>
      <c r="C476">
        <v>31.6</v>
      </c>
      <c r="D476" t="e">
        <f>VLOOKUP(A476,收盤價!A:B,3,0)</f>
        <v>#REF!</v>
      </c>
      <c r="E476" s="85">
        <v>-3.4810126582278528E-2</v>
      </c>
      <c r="F476">
        <v>69.930000000000007</v>
      </c>
    </row>
    <row r="477" spans="1:6">
      <c r="A477">
        <v>3004</v>
      </c>
      <c r="B477" t="s">
        <v>1652</v>
      </c>
      <c r="C477">
        <v>45.1</v>
      </c>
      <c r="D477" t="e">
        <f>VLOOKUP(A477,收盤價!A:B,3,0)</f>
        <v>#REF!</v>
      </c>
      <c r="E477" s="85">
        <v>-3.54767184035477E-2</v>
      </c>
      <c r="F477">
        <v>69.87</v>
      </c>
    </row>
    <row r="478" spans="1:6">
      <c r="A478">
        <v>4535</v>
      </c>
      <c r="B478" t="s">
        <v>2213</v>
      </c>
      <c r="C478">
        <v>47.4</v>
      </c>
      <c r="D478" t="e">
        <f>VLOOKUP(A478,收盤價!A:B,3,0)</f>
        <v>#REF!</v>
      </c>
      <c r="E478" s="85">
        <v>-3.5864978902953495E-2</v>
      </c>
      <c r="F478">
        <v>69.8</v>
      </c>
    </row>
    <row r="479" spans="1:6">
      <c r="A479">
        <v>1721</v>
      </c>
      <c r="B479" t="s">
        <v>1317</v>
      </c>
      <c r="C479">
        <v>11.15</v>
      </c>
      <c r="D479">
        <f>VLOOKUP(A479,收盤價!A:C,3,0)</f>
        <v>10.9</v>
      </c>
      <c r="E479" s="85">
        <v>-3.5874439461883442E-2</v>
      </c>
      <c r="F479">
        <v>69.739999999999995</v>
      </c>
    </row>
    <row r="480" spans="1:6">
      <c r="A480">
        <v>2344</v>
      </c>
      <c r="B480" t="s">
        <v>1425</v>
      </c>
      <c r="C480">
        <v>8.08</v>
      </c>
      <c r="D480">
        <f>VLOOKUP(A480,收盤價!A:C,3,0)</f>
        <v>7.73</v>
      </c>
      <c r="E480" s="85">
        <v>-3.5891089108910895E-2</v>
      </c>
      <c r="F480">
        <v>69.680000000000007</v>
      </c>
    </row>
    <row r="481" spans="1:6">
      <c r="A481">
        <v>3564</v>
      </c>
      <c r="B481" t="s">
        <v>2143</v>
      </c>
      <c r="C481">
        <v>72.3</v>
      </c>
      <c r="D481" t="e">
        <f>VLOOKUP(A481,收盤價!A:B,3,0)</f>
        <v>#REF!</v>
      </c>
      <c r="E481" s="85">
        <v>-3.5961272475795218E-2</v>
      </c>
      <c r="F481">
        <v>69.61</v>
      </c>
    </row>
    <row r="482" spans="1:6">
      <c r="A482">
        <v>8107</v>
      </c>
      <c r="B482" t="s">
        <v>553</v>
      </c>
      <c r="C482">
        <v>18</v>
      </c>
      <c r="D482" t="e">
        <f>VLOOKUP(A482,收盤價!A:B,3,0)</f>
        <v>#REF!</v>
      </c>
      <c r="E482" s="85">
        <v>-3.6111111111111031E-2</v>
      </c>
      <c r="F482">
        <v>69.55</v>
      </c>
    </row>
    <row r="483" spans="1:6">
      <c r="A483">
        <v>1783</v>
      </c>
      <c r="B483" t="s">
        <v>1335</v>
      </c>
      <c r="C483">
        <v>27.65</v>
      </c>
      <c r="D483">
        <f>VLOOKUP(A483,收盤價!A:C,3,0)</f>
        <v>25.75</v>
      </c>
      <c r="E483" s="85">
        <v>-3.6166365280289332E-2</v>
      </c>
      <c r="F483">
        <v>69.489999999999995</v>
      </c>
    </row>
    <row r="484" spans="1:6">
      <c r="A484">
        <v>2515</v>
      </c>
      <c r="B484" t="s">
        <v>1551</v>
      </c>
      <c r="C484">
        <v>8.25</v>
      </c>
      <c r="D484" t="e">
        <f>VLOOKUP(A484,收盤價!A:B,3,0)</f>
        <v>#REF!</v>
      </c>
      <c r="E484" s="85">
        <v>-3.6363636363636341E-2</v>
      </c>
      <c r="F484">
        <v>69.430000000000007</v>
      </c>
    </row>
    <row r="485" spans="1:6">
      <c r="A485">
        <v>3416</v>
      </c>
      <c r="B485" t="s">
        <v>1728</v>
      </c>
      <c r="C485">
        <v>55</v>
      </c>
      <c r="D485" t="e">
        <f>VLOOKUP(A485,收盤價!A:B,3,0)</f>
        <v>#REF!</v>
      </c>
      <c r="E485" s="85">
        <v>-3.6363636363636362E-2</v>
      </c>
      <c r="F485">
        <v>69.36</v>
      </c>
    </row>
    <row r="486" spans="1:6">
      <c r="A486">
        <v>3019</v>
      </c>
      <c r="B486" t="s">
        <v>1663</v>
      </c>
      <c r="C486">
        <v>34.25</v>
      </c>
      <c r="D486" t="e">
        <f>VLOOKUP(A486,收盤價!A:B,3,0)</f>
        <v>#REF!</v>
      </c>
      <c r="E486" s="85">
        <v>-3.6496350364963501E-2</v>
      </c>
      <c r="F486">
        <v>69.3</v>
      </c>
    </row>
    <row r="487" spans="1:6">
      <c r="A487">
        <v>8101</v>
      </c>
      <c r="B487" t="s">
        <v>1949</v>
      </c>
      <c r="C487">
        <v>9.58</v>
      </c>
      <c r="D487" t="e">
        <f>VLOOKUP(A487,收盤價!A:B,3,0)</f>
        <v>#REF!</v>
      </c>
      <c r="E487" s="85">
        <v>-3.6534446764091823E-2</v>
      </c>
      <c r="F487">
        <v>69.239999999999995</v>
      </c>
    </row>
    <row r="488" spans="1:6">
      <c r="A488">
        <v>1516</v>
      </c>
      <c r="B488" t="s">
        <v>1258</v>
      </c>
      <c r="C488">
        <v>26</v>
      </c>
      <c r="D488">
        <f>VLOOKUP(A488,收盤價!A:C,3,0)</f>
        <v>24.1</v>
      </c>
      <c r="E488" s="85">
        <v>-3.6538461538461513E-2</v>
      </c>
      <c r="F488">
        <v>69.17</v>
      </c>
    </row>
    <row r="489" spans="1:6">
      <c r="A489">
        <v>5609</v>
      </c>
      <c r="B489" t="s">
        <v>488</v>
      </c>
      <c r="C489">
        <v>18.95</v>
      </c>
      <c r="D489" t="e">
        <f>VLOOKUP(A489,收盤價!A:B,3,0)</f>
        <v>#REF!</v>
      </c>
      <c r="E489" s="85">
        <v>-3.6939313984168831E-2</v>
      </c>
      <c r="F489">
        <v>69.11</v>
      </c>
    </row>
    <row r="490" spans="1:6">
      <c r="A490">
        <v>4144</v>
      </c>
      <c r="B490" t="s">
        <v>1792</v>
      </c>
      <c r="C490">
        <v>64.5</v>
      </c>
      <c r="D490" t="e">
        <f>VLOOKUP(A490,收盤價!A:B,3,0)</f>
        <v>#REF!</v>
      </c>
      <c r="E490" s="85">
        <v>-3.7209302325581374E-2</v>
      </c>
      <c r="F490">
        <v>69.05</v>
      </c>
    </row>
    <row r="491" spans="1:6">
      <c r="A491">
        <v>2114</v>
      </c>
      <c r="B491" t="s">
        <v>1389</v>
      </c>
      <c r="C491">
        <v>83.1</v>
      </c>
      <c r="D491">
        <f>VLOOKUP(A491,收盤價!A:C,3,0)</f>
        <v>78.7</v>
      </c>
      <c r="E491" s="85">
        <v>-3.7304452466907272E-2</v>
      </c>
      <c r="F491">
        <v>68.98</v>
      </c>
    </row>
    <row r="492" spans="1:6">
      <c r="A492">
        <v>3570</v>
      </c>
      <c r="B492" t="s">
        <v>2145</v>
      </c>
      <c r="C492">
        <v>83</v>
      </c>
      <c r="D492" t="e">
        <f>VLOOKUP(A492,收盤價!A:B,3,0)</f>
        <v>#REF!</v>
      </c>
      <c r="E492" s="85">
        <v>-3.7349397590361377E-2</v>
      </c>
      <c r="F492">
        <v>68.92</v>
      </c>
    </row>
    <row r="493" spans="1:6">
      <c r="A493">
        <v>6202</v>
      </c>
      <c r="B493" t="s">
        <v>1896</v>
      </c>
      <c r="C493">
        <v>49.35</v>
      </c>
      <c r="D493" t="e">
        <f>VLOOKUP(A493,收盤價!A:B,3,0)</f>
        <v>#REF!</v>
      </c>
      <c r="E493" s="85">
        <v>-3.7487335359675814E-2</v>
      </c>
      <c r="F493">
        <v>68.86</v>
      </c>
    </row>
    <row r="494" spans="1:6">
      <c r="A494">
        <v>2850</v>
      </c>
      <c r="B494" t="s">
        <v>1616</v>
      </c>
      <c r="C494">
        <v>22.6</v>
      </c>
      <c r="D494" t="e">
        <f>VLOOKUP(A494,收盤價!A:B,3,0)</f>
        <v>#REF!</v>
      </c>
      <c r="E494" s="85">
        <v>-3.7610619469026607E-2</v>
      </c>
      <c r="F494">
        <v>68.790000000000006</v>
      </c>
    </row>
    <row r="495" spans="1:6">
      <c r="A495">
        <v>2820</v>
      </c>
      <c r="B495" t="s">
        <v>1606</v>
      </c>
      <c r="C495">
        <v>11.75</v>
      </c>
      <c r="D495" t="e">
        <f>VLOOKUP(A495,收盤價!A:B,3,0)</f>
        <v>#REF!</v>
      </c>
      <c r="E495" s="85">
        <v>-3.8297872340425469E-2</v>
      </c>
      <c r="F495">
        <v>68.73</v>
      </c>
    </row>
    <row r="496" spans="1:6">
      <c r="A496">
        <v>2102</v>
      </c>
      <c r="B496" t="s">
        <v>1381</v>
      </c>
      <c r="C496">
        <v>15.6</v>
      </c>
      <c r="D496">
        <f>VLOOKUP(A496,收盤價!A:C,3,0)</f>
        <v>15.05</v>
      </c>
      <c r="E496" s="85">
        <v>-3.8461538461538443E-2</v>
      </c>
      <c r="F496">
        <v>68.67</v>
      </c>
    </row>
    <row r="497" spans="1:6">
      <c r="A497">
        <v>6182</v>
      </c>
      <c r="B497" t="s">
        <v>507</v>
      </c>
      <c r="C497">
        <v>11.65</v>
      </c>
      <c r="D497" t="e">
        <f>VLOOKUP(A497,收盤價!A:B,3,0)</f>
        <v>#REF!</v>
      </c>
      <c r="E497" s="85">
        <v>-3.8626609442060179E-2</v>
      </c>
      <c r="F497">
        <v>68.599999999999994</v>
      </c>
    </row>
    <row r="498" spans="1:6">
      <c r="A498">
        <v>2884</v>
      </c>
      <c r="B498" t="s">
        <v>1626</v>
      </c>
      <c r="C498">
        <v>20.6</v>
      </c>
      <c r="D498" t="e">
        <f>VLOOKUP(A498,收盤價!A:B,3,0)</f>
        <v>#REF!</v>
      </c>
      <c r="E498" s="85">
        <v>-3.8834951456310711E-2</v>
      </c>
      <c r="F498">
        <v>68.540000000000006</v>
      </c>
    </row>
    <row r="499" spans="1:6">
      <c r="A499">
        <v>6005</v>
      </c>
      <c r="B499" t="s">
        <v>1863</v>
      </c>
      <c r="C499">
        <v>9.99</v>
      </c>
      <c r="D499" t="e">
        <f>VLOOKUP(A499,收盤價!A:B,3,0)</f>
        <v>#REF!</v>
      </c>
      <c r="E499" s="85">
        <v>-3.9039039039039096E-2</v>
      </c>
      <c r="F499">
        <v>68.48</v>
      </c>
    </row>
    <row r="500" spans="1:6">
      <c r="A500">
        <v>2035</v>
      </c>
      <c r="B500" t="s">
        <v>2057</v>
      </c>
      <c r="C500">
        <v>48.4</v>
      </c>
      <c r="D500">
        <f>VLOOKUP(A500,收盤價!A:C,3,0)</f>
        <v>46.5</v>
      </c>
      <c r="E500" s="85">
        <v>-3.9256198347107411E-2</v>
      </c>
      <c r="F500">
        <v>68.41</v>
      </c>
    </row>
    <row r="501" spans="1:6">
      <c r="A501">
        <v>1611</v>
      </c>
      <c r="B501" t="s">
        <v>1293</v>
      </c>
      <c r="C501">
        <v>9.1</v>
      </c>
      <c r="D501">
        <f>VLOOKUP(A501,收盤價!A:C,3,0)</f>
        <v>8.51</v>
      </c>
      <c r="E501" s="85">
        <v>-3.9560439560439496E-2</v>
      </c>
      <c r="F501">
        <v>68.349999999999994</v>
      </c>
    </row>
    <row r="502" spans="1:6">
      <c r="A502">
        <v>5703</v>
      </c>
      <c r="B502" t="s">
        <v>2302</v>
      </c>
      <c r="C502">
        <v>22.7</v>
      </c>
      <c r="D502" t="e">
        <f>VLOOKUP(A502,收盤價!A:B,3,0)</f>
        <v>#REF!</v>
      </c>
      <c r="E502" s="85">
        <v>-3.9647577092510954E-2</v>
      </c>
      <c r="F502">
        <v>68.290000000000006</v>
      </c>
    </row>
    <row r="503" spans="1:6">
      <c r="A503">
        <v>2538</v>
      </c>
      <c r="B503" t="s">
        <v>1562</v>
      </c>
      <c r="C503">
        <v>18.149999999999999</v>
      </c>
      <c r="D503" t="e">
        <f>VLOOKUP(A503,收盤價!A:B,3,0)</f>
        <v>#REF!</v>
      </c>
      <c r="E503" s="85">
        <v>-4.1322314049586778E-2</v>
      </c>
      <c r="F503">
        <v>68.22</v>
      </c>
    </row>
    <row r="504" spans="1:6">
      <c r="A504">
        <v>1313</v>
      </c>
      <c r="B504" t="s">
        <v>1186</v>
      </c>
      <c r="C504">
        <v>10.4</v>
      </c>
      <c r="D504">
        <f>VLOOKUP(A504,收盤價!A:C,3,0)</f>
        <v>9.89</v>
      </c>
      <c r="E504" s="85">
        <v>-4.1346153846153817E-2</v>
      </c>
      <c r="F504">
        <v>68.16</v>
      </c>
    </row>
    <row r="505" spans="1:6">
      <c r="A505">
        <v>6247</v>
      </c>
      <c r="B505" t="s">
        <v>2362</v>
      </c>
      <c r="C505">
        <v>14.5</v>
      </c>
      <c r="D505" t="e">
        <f>VLOOKUP(A505,收盤價!A:B,3,0)</f>
        <v>#REF!</v>
      </c>
      <c r="E505" s="85">
        <v>-4.1379310344827565E-2</v>
      </c>
      <c r="F505">
        <v>68.099999999999994</v>
      </c>
    </row>
    <row r="506" spans="1:6">
      <c r="A506">
        <v>4904</v>
      </c>
      <c r="B506" t="s">
        <v>1809</v>
      </c>
      <c r="C506">
        <v>74.599999999999994</v>
      </c>
      <c r="D506" t="e">
        <f>VLOOKUP(A506,收盤價!A:B,3,0)</f>
        <v>#REF!</v>
      </c>
      <c r="E506" s="85">
        <v>-4.1554959785522712E-2</v>
      </c>
      <c r="F506">
        <v>68.040000000000006</v>
      </c>
    </row>
    <row r="507" spans="1:6">
      <c r="A507">
        <v>2484</v>
      </c>
      <c r="B507" t="s">
        <v>1531</v>
      </c>
      <c r="C507">
        <v>19.25</v>
      </c>
      <c r="D507" t="e">
        <f>VLOOKUP(A507,收盤價!A:B,3,0)</f>
        <v>#REF!</v>
      </c>
      <c r="E507" s="85">
        <v>-4.1558441558441593E-2</v>
      </c>
      <c r="F507">
        <v>67.97</v>
      </c>
    </row>
    <row r="508" spans="1:6">
      <c r="A508">
        <v>1220</v>
      </c>
      <c r="B508" t="s">
        <v>1165</v>
      </c>
      <c r="C508">
        <v>10.3</v>
      </c>
      <c r="D508">
        <f>VLOOKUP(A508,收盤價!A:C,3,0)</f>
        <v>9.7799999999999994</v>
      </c>
      <c r="E508" s="85">
        <v>-4.1747572815534123E-2</v>
      </c>
      <c r="F508">
        <v>67.91</v>
      </c>
    </row>
    <row r="509" spans="1:6">
      <c r="A509">
        <v>9921</v>
      </c>
      <c r="B509" t="s">
        <v>2016</v>
      </c>
      <c r="C509">
        <v>261</v>
      </c>
      <c r="D509" t="e">
        <f>VLOOKUP(A509,收盤價!A:B,3,0)</f>
        <v>#REF!</v>
      </c>
      <c r="E509" s="85">
        <v>-4.2145593869731802E-2</v>
      </c>
      <c r="F509">
        <v>67.849999999999994</v>
      </c>
    </row>
    <row r="510" spans="1:6">
      <c r="A510">
        <v>3455</v>
      </c>
      <c r="B510" t="s">
        <v>370</v>
      </c>
      <c r="C510">
        <v>29.65</v>
      </c>
      <c r="D510" t="e">
        <f>VLOOKUP(A510,收盤價!A:B,3,0)</f>
        <v>#REF!</v>
      </c>
      <c r="E510" s="85">
        <v>-4.2158516020236091E-2</v>
      </c>
      <c r="F510">
        <v>67.78</v>
      </c>
    </row>
    <row r="511" spans="1:6">
      <c r="A511">
        <v>6270</v>
      </c>
      <c r="B511" t="s">
        <v>2365</v>
      </c>
      <c r="C511">
        <v>11.8</v>
      </c>
      <c r="D511" t="e">
        <f>VLOOKUP(A511,收盤價!A:B,3,0)</f>
        <v>#REF!</v>
      </c>
      <c r="E511" s="85">
        <v>-4.2372881355932202E-2</v>
      </c>
      <c r="F511">
        <v>67.72</v>
      </c>
    </row>
    <row r="512" spans="1:6">
      <c r="A512">
        <v>2115</v>
      </c>
      <c r="B512" t="s">
        <v>1390</v>
      </c>
      <c r="C512">
        <v>47.95</v>
      </c>
      <c r="D512">
        <f>VLOOKUP(A512,收盤價!A:C,3,0)</f>
        <v>45.6</v>
      </c>
      <c r="E512" s="85">
        <v>-4.2752867570385905E-2</v>
      </c>
      <c r="F512">
        <v>67.66</v>
      </c>
    </row>
    <row r="513" spans="1:6">
      <c r="A513">
        <v>4755</v>
      </c>
      <c r="B513" t="s">
        <v>1808</v>
      </c>
      <c r="C513">
        <v>24.45</v>
      </c>
      <c r="D513" t="e">
        <f>VLOOKUP(A513,收盤價!A:B,3,0)</f>
        <v>#REF!</v>
      </c>
      <c r="E513" s="85">
        <v>-4.2944785276073649E-2</v>
      </c>
      <c r="F513">
        <v>67.59</v>
      </c>
    </row>
    <row r="514" spans="1:6">
      <c r="A514">
        <v>5312</v>
      </c>
      <c r="B514" t="s">
        <v>461</v>
      </c>
      <c r="C514">
        <v>80.8</v>
      </c>
      <c r="D514" t="e">
        <f>VLOOKUP(A514,收盤價!A:B,3,0)</f>
        <v>#REF!</v>
      </c>
      <c r="E514" s="85">
        <v>-4.3316831683168321E-2</v>
      </c>
      <c r="F514">
        <v>67.53</v>
      </c>
    </row>
    <row r="515" spans="1:6">
      <c r="A515">
        <v>8938</v>
      </c>
      <c r="B515" t="s">
        <v>575</v>
      </c>
      <c r="C515">
        <v>21.75</v>
      </c>
      <c r="D515" t="e">
        <f>VLOOKUP(A515,收盤價!A:B,3,0)</f>
        <v>#REF!</v>
      </c>
      <c r="E515" s="85">
        <v>-4.3678160919540195E-2</v>
      </c>
      <c r="F515">
        <v>67.47</v>
      </c>
    </row>
    <row r="516" spans="1:6">
      <c r="A516">
        <v>8131</v>
      </c>
      <c r="B516" t="s">
        <v>1955</v>
      </c>
      <c r="C516">
        <v>21.7</v>
      </c>
      <c r="D516" t="e">
        <f>VLOOKUP(A516,收盤價!A:B,3,0)</f>
        <v>#REF!</v>
      </c>
      <c r="E516" s="85">
        <v>-4.3778801843317942E-2</v>
      </c>
      <c r="F516">
        <v>67.400000000000006</v>
      </c>
    </row>
    <row r="517" spans="1:6">
      <c r="A517">
        <v>2231</v>
      </c>
      <c r="B517" t="s">
        <v>1398</v>
      </c>
      <c r="C517">
        <v>387</v>
      </c>
      <c r="D517">
        <f>VLOOKUP(A517,收盤價!A:C,3,0)</f>
        <v>394.5</v>
      </c>
      <c r="E517" s="85">
        <v>-4.3927648578811367E-2</v>
      </c>
      <c r="F517">
        <v>67.34</v>
      </c>
    </row>
    <row r="518" spans="1:6">
      <c r="A518">
        <v>2901</v>
      </c>
      <c r="B518" t="s">
        <v>1637</v>
      </c>
      <c r="C518">
        <v>28.4</v>
      </c>
      <c r="D518" t="e">
        <f>VLOOKUP(A518,收盤價!A:B,3,0)</f>
        <v>#REF!</v>
      </c>
      <c r="E518" s="85">
        <v>-4.4014084507042257E-2</v>
      </c>
      <c r="F518">
        <v>67.28</v>
      </c>
    </row>
    <row r="519" spans="1:6">
      <c r="A519">
        <v>8905</v>
      </c>
      <c r="B519" t="s">
        <v>2440</v>
      </c>
      <c r="C519">
        <v>15.9</v>
      </c>
      <c r="D519" t="e">
        <f>VLOOKUP(A519,收盤價!A:B,3,0)</f>
        <v>#REF!</v>
      </c>
      <c r="E519" s="85">
        <v>-4.4025157232704469E-2</v>
      </c>
      <c r="F519">
        <v>67.209999999999994</v>
      </c>
    </row>
    <row r="520" spans="1:6">
      <c r="A520">
        <v>6231</v>
      </c>
      <c r="B520" t="s">
        <v>519</v>
      </c>
      <c r="C520">
        <v>34</v>
      </c>
      <c r="D520" t="e">
        <f>VLOOKUP(A520,收盤價!A:B,3,0)</f>
        <v>#REF!</v>
      </c>
      <c r="E520" s="85">
        <v>-4.4117647058823532E-2</v>
      </c>
      <c r="F520">
        <v>67.150000000000006</v>
      </c>
    </row>
    <row r="521" spans="1:6">
      <c r="A521">
        <v>1604</v>
      </c>
      <c r="B521" t="s">
        <v>1289</v>
      </c>
      <c r="C521">
        <v>13.4</v>
      </c>
      <c r="D521">
        <f>VLOOKUP(A521,收盤價!A:C,3,0)</f>
        <v>12.7</v>
      </c>
      <c r="E521" s="85">
        <v>-4.4776119402985044E-2</v>
      </c>
      <c r="F521">
        <v>67.09</v>
      </c>
    </row>
    <row r="522" spans="1:6">
      <c r="A522">
        <v>3483</v>
      </c>
      <c r="B522" t="s">
        <v>372</v>
      </c>
      <c r="C522">
        <v>13.35</v>
      </c>
      <c r="D522" t="e">
        <f>VLOOKUP(A522,收盤價!A:B,3,0)</f>
        <v>#REF!</v>
      </c>
      <c r="E522" s="85">
        <v>-4.4943820224719079E-2</v>
      </c>
      <c r="F522">
        <v>67.02</v>
      </c>
    </row>
    <row r="523" spans="1:6">
      <c r="A523">
        <v>2235</v>
      </c>
      <c r="B523" t="s">
        <v>321</v>
      </c>
      <c r="C523">
        <v>110</v>
      </c>
      <c r="D523">
        <f>VLOOKUP(A523,收盤價!A:C,3,0)</f>
        <v>105</v>
      </c>
      <c r="E523" s="85">
        <v>-4.5454545454545456E-2</v>
      </c>
      <c r="F523">
        <v>66.959999999999994</v>
      </c>
    </row>
    <row r="524" spans="1:6">
      <c r="A524">
        <v>4106</v>
      </c>
      <c r="B524" t="s">
        <v>1785</v>
      </c>
      <c r="C524">
        <v>39.4</v>
      </c>
      <c r="D524" t="e">
        <f>VLOOKUP(A524,收盤價!A:B,3,0)</f>
        <v>#REF!</v>
      </c>
      <c r="E524" s="85">
        <v>-4.5685279187817188E-2</v>
      </c>
      <c r="F524">
        <v>66.900000000000006</v>
      </c>
    </row>
    <row r="525" spans="1:6">
      <c r="A525">
        <v>9918</v>
      </c>
      <c r="B525" t="s">
        <v>2014</v>
      </c>
      <c r="C525">
        <v>32.5</v>
      </c>
      <c r="D525" t="e">
        <f>VLOOKUP(A525,收盤價!A:B,3,0)</f>
        <v>#REF!</v>
      </c>
      <c r="E525" s="85">
        <v>-4.6153846153846156E-2</v>
      </c>
      <c r="F525">
        <v>66.84</v>
      </c>
    </row>
    <row r="526" spans="1:6">
      <c r="A526">
        <v>9925</v>
      </c>
      <c r="B526" t="s">
        <v>2018</v>
      </c>
      <c r="C526">
        <v>40.049999999999997</v>
      </c>
      <c r="D526" t="e">
        <f>VLOOKUP(A526,收盤價!A:B,3,0)</f>
        <v>#REF!</v>
      </c>
      <c r="E526" s="85">
        <v>-4.6192259675405606E-2</v>
      </c>
      <c r="F526">
        <v>66.77</v>
      </c>
    </row>
    <row r="527" spans="1:6">
      <c r="A527">
        <v>6158</v>
      </c>
      <c r="B527" t="s">
        <v>500</v>
      </c>
      <c r="C527">
        <v>10.8</v>
      </c>
      <c r="D527" t="e">
        <f>VLOOKUP(A527,收盤價!A:B,3,0)</f>
        <v>#REF!</v>
      </c>
      <c r="E527" s="85">
        <v>-4.6296296296296294E-2</v>
      </c>
      <c r="F527">
        <v>66.709999999999994</v>
      </c>
    </row>
    <row r="528" spans="1:6">
      <c r="A528">
        <v>4979</v>
      </c>
      <c r="B528" t="s">
        <v>442</v>
      </c>
      <c r="C528">
        <v>90.2</v>
      </c>
      <c r="D528" t="e">
        <f>VLOOKUP(A528,收盤價!A:B,3,0)</f>
        <v>#REF!</v>
      </c>
      <c r="E528" s="85">
        <v>-4.6563192904656346E-2</v>
      </c>
      <c r="F528">
        <v>66.650000000000006</v>
      </c>
    </row>
    <row r="529" spans="1:6">
      <c r="A529">
        <v>2421</v>
      </c>
      <c r="B529" t="s">
        <v>1481</v>
      </c>
      <c r="C529">
        <v>17</v>
      </c>
      <c r="D529" t="e">
        <f>VLOOKUP(A529,收盤價!A:B,3,0)</f>
        <v>#REF!</v>
      </c>
      <c r="E529" s="85">
        <v>-4.7058823529411806E-2</v>
      </c>
      <c r="F529">
        <v>66.58</v>
      </c>
    </row>
    <row r="530" spans="1:6">
      <c r="A530">
        <v>6803</v>
      </c>
      <c r="B530" t="s">
        <v>2380</v>
      </c>
      <c r="C530">
        <v>169.5</v>
      </c>
      <c r="D530" t="e">
        <f>VLOOKUP(A530,收盤價!A:B,3,0)</f>
        <v>#REF!</v>
      </c>
      <c r="E530" s="85">
        <v>-4.71976401179941E-2</v>
      </c>
      <c r="F530">
        <v>66.52</v>
      </c>
    </row>
    <row r="531" spans="1:6">
      <c r="A531">
        <v>9914</v>
      </c>
      <c r="B531" t="s">
        <v>2012</v>
      </c>
      <c r="C531">
        <v>200</v>
      </c>
      <c r="D531" t="e">
        <f>VLOOKUP(A531,收盤價!A:B,3,0)</f>
        <v>#REF!</v>
      </c>
      <c r="E531" s="85">
        <v>-4.7500000000000001E-2</v>
      </c>
      <c r="F531">
        <v>66.459999999999994</v>
      </c>
    </row>
    <row r="532" spans="1:6">
      <c r="A532">
        <v>6282</v>
      </c>
      <c r="B532" t="s">
        <v>1918</v>
      </c>
      <c r="C532">
        <v>24.15</v>
      </c>
      <c r="D532" t="e">
        <f>VLOOKUP(A532,收盤價!A:B,3,0)</f>
        <v>#REF!</v>
      </c>
      <c r="E532" s="85">
        <v>-4.7619047619047561E-2</v>
      </c>
      <c r="F532">
        <v>66.39</v>
      </c>
    </row>
    <row r="533" spans="1:6">
      <c r="A533">
        <v>8418</v>
      </c>
      <c r="B533" t="s">
        <v>2434</v>
      </c>
      <c r="C533">
        <v>18.850000000000001</v>
      </c>
      <c r="D533" t="e">
        <f>VLOOKUP(A533,收盤價!A:B,3,0)</f>
        <v>#REF!</v>
      </c>
      <c r="E533" s="85">
        <v>-4.7745358090185784E-2</v>
      </c>
      <c r="F533">
        <v>66.33</v>
      </c>
    </row>
    <row r="534" spans="1:6">
      <c r="A534">
        <v>6194</v>
      </c>
      <c r="B534" t="s">
        <v>2345</v>
      </c>
      <c r="C534">
        <v>18.8</v>
      </c>
      <c r="D534" t="e">
        <f>VLOOKUP(A534,收盤價!A:B,3,0)</f>
        <v>#REF!</v>
      </c>
      <c r="E534" s="85">
        <v>-4.7872340425532026E-2</v>
      </c>
      <c r="F534">
        <v>66.27</v>
      </c>
    </row>
    <row r="535" spans="1:6">
      <c r="A535">
        <v>3017</v>
      </c>
      <c r="B535" t="s">
        <v>1661</v>
      </c>
      <c r="C535">
        <v>27.15</v>
      </c>
      <c r="D535" t="e">
        <f>VLOOKUP(A535,收盤價!A:B,3,0)</f>
        <v>#REF!</v>
      </c>
      <c r="E535" s="85">
        <v>-4.7882136279926234E-2</v>
      </c>
      <c r="F535">
        <v>66.2</v>
      </c>
    </row>
    <row r="536" spans="1:6">
      <c r="A536">
        <v>3379</v>
      </c>
      <c r="B536" t="s">
        <v>2117</v>
      </c>
      <c r="C536">
        <v>17.75</v>
      </c>
      <c r="D536" t="e">
        <f>VLOOKUP(A536,收盤價!A:B,3,0)</f>
        <v>#REF!</v>
      </c>
      <c r="E536" s="85">
        <v>-4.7887323943662054E-2</v>
      </c>
      <c r="F536">
        <v>66.14</v>
      </c>
    </row>
    <row r="537" spans="1:6">
      <c r="A537">
        <v>6217</v>
      </c>
      <c r="B537" t="s">
        <v>2352</v>
      </c>
      <c r="C537">
        <v>49</v>
      </c>
      <c r="D537" t="e">
        <f>VLOOKUP(A537,收盤價!A:B,3,0)</f>
        <v>#REF!</v>
      </c>
      <c r="E537" s="85">
        <v>-4.7959183673469415E-2</v>
      </c>
      <c r="F537">
        <v>66.08</v>
      </c>
    </row>
    <row r="538" spans="1:6">
      <c r="A538">
        <v>2634</v>
      </c>
      <c r="B538" t="s">
        <v>1588</v>
      </c>
      <c r="C538">
        <v>42.65</v>
      </c>
      <c r="D538" t="e">
        <f>VLOOKUP(A538,收盤價!A:B,3,0)</f>
        <v>#REF!</v>
      </c>
      <c r="E538" s="85">
        <v>-4.8065650644783055E-2</v>
      </c>
      <c r="F538">
        <v>66.010000000000005</v>
      </c>
    </row>
    <row r="539" spans="1:6">
      <c r="A539">
        <v>2367</v>
      </c>
      <c r="B539" t="s">
        <v>1445</v>
      </c>
      <c r="C539">
        <v>12.3</v>
      </c>
      <c r="D539" t="e">
        <f>VLOOKUP(A539,收盤價!A:B,3,0)</f>
        <v>#REF!</v>
      </c>
      <c r="E539" s="85">
        <v>-4.8780487804878161E-2</v>
      </c>
      <c r="F539">
        <v>65.95</v>
      </c>
    </row>
    <row r="540" spans="1:6">
      <c r="A540">
        <v>3176</v>
      </c>
      <c r="B540" t="s">
        <v>337</v>
      </c>
      <c r="C540">
        <v>97.6</v>
      </c>
      <c r="D540" t="e">
        <f>VLOOKUP(A540,收盤價!A:B,3,0)</f>
        <v>#REF!</v>
      </c>
      <c r="E540" s="85">
        <v>-4.918032786885243E-2</v>
      </c>
      <c r="F540">
        <v>65.89</v>
      </c>
    </row>
    <row r="541" spans="1:6">
      <c r="A541">
        <v>1614</v>
      </c>
      <c r="B541" t="s">
        <v>1296</v>
      </c>
      <c r="C541">
        <v>27.35</v>
      </c>
      <c r="D541">
        <f>VLOOKUP(A541,收盤價!A:C,3,0)</f>
        <v>26.75</v>
      </c>
      <c r="E541" s="85">
        <v>-4.9360146252285242E-2</v>
      </c>
      <c r="F541">
        <v>65.819999999999993</v>
      </c>
    </row>
    <row r="542" spans="1:6">
      <c r="A542">
        <v>3563</v>
      </c>
      <c r="B542" t="s">
        <v>389</v>
      </c>
      <c r="C542">
        <v>42.4</v>
      </c>
      <c r="D542" t="e">
        <f>VLOOKUP(A542,收盤價!A:B,3,0)</f>
        <v>#REF!</v>
      </c>
      <c r="E542" s="85">
        <v>-4.952830188679249E-2</v>
      </c>
      <c r="F542">
        <v>65.760000000000005</v>
      </c>
    </row>
    <row r="543" spans="1:6">
      <c r="A543">
        <v>2438</v>
      </c>
      <c r="B543" t="s">
        <v>1495</v>
      </c>
      <c r="C543">
        <v>15.1</v>
      </c>
      <c r="D543" t="e">
        <f>VLOOKUP(A543,收盤價!A:B,3,0)</f>
        <v>#REF!</v>
      </c>
      <c r="E543" s="85">
        <v>-4.9668874172185434E-2</v>
      </c>
      <c r="F543">
        <v>65.7</v>
      </c>
    </row>
    <row r="544" spans="1:6">
      <c r="A544">
        <v>6228</v>
      </c>
      <c r="B544" t="s">
        <v>2356</v>
      </c>
      <c r="C544">
        <v>13</v>
      </c>
      <c r="D544" t="e">
        <f>VLOOKUP(A544,收盤價!A:B,3,0)</f>
        <v>#REF!</v>
      </c>
      <c r="E544" s="85">
        <v>-5.0000000000000031E-2</v>
      </c>
      <c r="F544">
        <v>65.63</v>
      </c>
    </row>
    <row r="545" spans="1:6">
      <c r="A545">
        <v>6405</v>
      </c>
      <c r="B545" t="s">
        <v>1923</v>
      </c>
      <c r="C545">
        <v>26.95</v>
      </c>
      <c r="D545" t="e">
        <f>VLOOKUP(A545,收盤價!A:B,3,0)</f>
        <v>#REF!</v>
      </c>
      <c r="E545" s="85">
        <v>-5.0092764378478587E-2</v>
      </c>
      <c r="F545">
        <v>65.569999999999993</v>
      </c>
    </row>
    <row r="546" spans="1:6">
      <c r="A546">
        <v>8435</v>
      </c>
      <c r="B546" t="s">
        <v>564</v>
      </c>
      <c r="C546">
        <v>49.9</v>
      </c>
      <c r="D546" t="e">
        <f>VLOOKUP(A546,收盤價!A:B,3,0)</f>
        <v>#REF!</v>
      </c>
      <c r="E546" s="85">
        <v>-5.0100200400801605E-2</v>
      </c>
      <c r="F546">
        <v>65.510000000000005</v>
      </c>
    </row>
    <row r="547" spans="1:6">
      <c r="A547">
        <v>1410</v>
      </c>
      <c r="B547" t="s">
        <v>1202</v>
      </c>
      <c r="C547">
        <v>24.8</v>
      </c>
      <c r="D547">
        <f>VLOOKUP(A547,收盤價!A:C,3,0)</f>
        <v>23.9</v>
      </c>
      <c r="E547" s="85">
        <v>-5.040322580645161E-2</v>
      </c>
      <c r="F547">
        <v>65.45</v>
      </c>
    </row>
    <row r="548" spans="1:6">
      <c r="A548">
        <v>2616</v>
      </c>
      <c r="B548" t="s">
        <v>1585</v>
      </c>
      <c r="C548">
        <v>23.75</v>
      </c>
      <c r="D548" t="e">
        <f>VLOOKUP(A548,收盤價!A:B,3,0)</f>
        <v>#REF!</v>
      </c>
      <c r="E548" s="85">
        <v>-5.0526315789473655E-2</v>
      </c>
      <c r="F548">
        <v>65.38</v>
      </c>
    </row>
    <row r="549" spans="1:6">
      <c r="A549">
        <v>9941</v>
      </c>
      <c r="B549" t="s">
        <v>2032</v>
      </c>
      <c r="C549">
        <v>79</v>
      </c>
      <c r="D549" t="e">
        <f>VLOOKUP(A549,收盤價!A:B,3,0)</f>
        <v>#REF!</v>
      </c>
      <c r="E549" s="85">
        <v>-5.0632911392405063E-2</v>
      </c>
      <c r="F549">
        <v>65.319999999999993</v>
      </c>
    </row>
    <row r="550" spans="1:6">
      <c r="A550">
        <v>2889</v>
      </c>
      <c r="B550" t="s">
        <v>1631</v>
      </c>
      <c r="C550">
        <v>8.68</v>
      </c>
      <c r="D550" t="e">
        <f>VLOOKUP(A550,收盤價!A:B,3,0)</f>
        <v>#REF!</v>
      </c>
      <c r="E550" s="85">
        <v>-5.0691244239631283E-2</v>
      </c>
      <c r="F550">
        <v>65.260000000000005</v>
      </c>
    </row>
    <row r="551" spans="1:6">
      <c r="A551">
        <v>3105</v>
      </c>
      <c r="B551" t="s">
        <v>333</v>
      </c>
      <c r="C551">
        <v>43</v>
      </c>
      <c r="D551" t="e">
        <f>VLOOKUP(A551,收盤價!A:B,3,0)</f>
        <v>#REF!</v>
      </c>
      <c r="E551" s="85">
        <v>-5.1162790697674487E-2</v>
      </c>
      <c r="F551">
        <v>65.19</v>
      </c>
    </row>
    <row r="552" spans="1:6">
      <c r="A552">
        <v>8928</v>
      </c>
      <c r="B552" t="s">
        <v>571</v>
      </c>
      <c r="C552">
        <v>47.85</v>
      </c>
      <c r="D552" t="e">
        <f>VLOOKUP(A552,收盤價!A:B,3,0)</f>
        <v>#REF!</v>
      </c>
      <c r="E552" s="85">
        <v>-5.120167189132712E-2</v>
      </c>
      <c r="F552">
        <v>65.13</v>
      </c>
    </row>
    <row r="553" spans="1:6">
      <c r="A553">
        <v>5016</v>
      </c>
      <c r="B553" t="s">
        <v>2243</v>
      </c>
      <c r="C553">
        <v>24.4</v>
      </c>
      <c r="D553" t="e">
        <f>VLOOKUP(A553,收盤價!A:B,3,0)</f>
        <v>#REF!</v>
      </c>
      <c r="E553" s="85">
        <v>-5.1229508196721313E-2</v>
      </c>
      <c r="F553">
        <v>65.069999999999993</v>
      </c>
    </row>
    <row r="554" spans="1:6">
      <c r="A554">
        <v>4526</v>
      </c>
      <c r="B554" t="s">
        <v>1797</v>
      </c>
      <c r="C554">
        <v>25.3</v>
      </c>
      <c r="D554" t="e">
        <f>VLOOKUP(A554,收盤價!A:B,3,0)</f>
        <v>#REF!</v>
      </c>
      <c r="E554" s="85">
        <v>-5.1383399209486195E-2</v>
      </c>
      <c r="F554">
        <v>65</v>
      </c>
    </row>
    <row r="555" spans="1:6">
      <c r="A555">
        <v>2012</v>
      </c>
      <c r="B555" t="s">
        <v>1358</v>
      </c>
      <c r="C555">
        <v>14.55</v>
      </c>
      <c r="D555">
        <f>VLOOKUP(A555,收盤價!A:C,3,0)</f>
        <v>13.85</v>
      </c>
      <c r="E555" s="85">
        <v>-5.1546391752577317E-2</v>
      </c>
      <c r="F555">
        <v>64.94</v>
      </c>
    </row>
    <row r="556" spans="1:6">
      <c r="A556">
        <v>1459</v>
      </c>
      <c r="B556" t="s">
        <v>1233</v>
      </c>
      <c r="C556">
        <v>13.5</v>
      </c>
      <c r="D556">
        <f>VLOOKUP(A556,收盤價!A:C,3,0)</f>
        <v>12.85</v>
      </c>
      <c r="E556" s="85">
        <v>-5.1851851851851802E-2</v>
      </c>
      <c r="F556">
        <v>64.88</v>
      </c>
    </row>
    <row r="557" spans="1:6">
      <c r="A557">
        <v>2809</v>
      </c>
      <c r="B557" t="s">
        <v>1603</v>
      </c>
      <c r="C557">
        <v>26.8</v>
      </c>
      <c r="D557" t="e">
        <f>VLOOKUP(A557,收盤價!A:B,3,0)</f>
        <v>#REF!</v>
      </c>
      <c r="E557" s="85">
        <v>-5.2238805970149335E-2</v>
      </c>
      <c r="F557">
        <v>64.81</v>
      </c>
    </row>
    <row r="558" spans="1:6">
      <c r="A558">
        <v>4721</v>
      </c>
      <c r="B558" t="s">
        <v>431</v>
      </c>
      <c r="C558">
        <v>21</v>
      </c>
      <c r="D558" t="e">
        <f>VLOOKUP(A558,收盤價!A:B,3,0)</f>
        <v>#REF!</v>
      </c>
      <c r="E558" s="85">
        <v>-5.2380952380952452E-2</v>
      </c>
      <c r="F558">
        <v>64.75</v>
      </c>
    </row>
    <row r="559" spans="1:6">
      <c r="A559">
        <v>5251</v>
      </c>
      <c r="B559" t="s">
        <v>452</v>
      </c>
      <c r="C559">
        <v>38</v>
      </c>
      <c r="D559" t="e">
        <f>VLOOKUP(A559,收盤價!A:B,3,0)</f>
        <v>#REF!</v>
      </c>
      <c r="E559" s="85">
        <v>-5.2631578947368418E-2</v>
      </c>
      <c r="F559">
        <v>64.69</v>
      </c>
    </row>
    <row r="560" spans="1:6">
      <c r="A560">
        <v>1786</v>
      </c>
      <c r="B560" t="s">
        <v>1336</v>
      </c>
      <c r="C560">
        <v>64.2</v>
      </c>
      <c r="D560">
        <f>VLOOKUP(A560,收盤價!A:C,3,0)</f>
        <v>62.3</v>
      </c>
      <c r="E560" s="85">
        <v>-5.2959501557632488E-2</v>
      </c>
      <c r="F560">
        <v>64.62</v>
      </c>
    </row>
    <row r="561" spans="1:6">
      <c r="A561">
        <v>1787</v>
      </c>
      <c r="B561" t="s">
        <v>312</v>
      </c>
      <c r="C561">
        <v>22.6</v>
      </c>
      <c r="D561">
        <f>VLOOKUP(A561,收盤價!A:C,3,0)</f>
        <v>21.45</v>
      </c>
      <c r="E561" s="85">
        <v>-5.3097345132743487E-2</v>
      </c>
      <c r="F561">
        <v>64.56</v>
      </c>
    </row>
    <row r="562" spans="1:6">
      <c r="A562">
        <v>2303</v>
      </c>
      <c r="B562" t="s">
        <v>1402</v>
      </c>
      <c r="C562">
        <v>13.05</v>
      </c>
      <c r="D562">
        <f>VLOOKUP(A562,收盤價!A:C,3,0)</f>
        <v>12.15</v>
      </c>
      <c r="E562" s="85">
        <v>-5.3639846743295097E-2</v>
      </c>
      <c r="F562">
        <v>64.5</v>
      </c>
    </row>
    <row r="563" spans="1:6">
      <c r="A563">
        <v>1714</v>
      </c>
      <c r="B563" t="s">
        <v>1312</v>
      </c>
      <c r="C563">
        <v>8</v>
      </c>
      <c r="D563">
        <f>VLOOKUP(A563,收盤價!A:C,3,0)</f>
        <v>7.54</v>
      </c>
      <c r="E563" s="85">
        <v>-5.3749999999999964E-2</v>
      </c>
      <c r="F563">
        <v>64.430000000000007</v>
      </c>
    </row>
    <row r="564" spans="1:6">
      <c r="A564">
        <v>5381</v>
      </c>
      <c r="B564" t="s">
        <v>2271</v>
      </c>
      <c r="C564">
        <v>2.23</v>
      </c>
      <c r="D564" t="e">
        <f>VLOOKUP(A564,收盤價!A:B,3,0)</f>
        <v>#REF!</v>
      </c>
      <c r="E564" s="85">
        <v>-5.3811659192825163E-2</v>
      </c>
      <c r="F564">
        <v>64.37</v>
      </c>
    </row>
    <row r="565" spans="1:6">
      <c r="A565">
        <v>4433</v>
      </c>
      <c r="B565" t="s">
        <v>2202</v>
      </c>
      <c r="C565">
        <v>42.4</v>
      </c>
      <c r="D565" t="e">
        <f>VLOOKUP(A565,收盤價!A:B,3,0)</f>
        <v>#REF!</v>
      </c>
      <c r="E565" s="85">
        <v>-5.4245283018867857E-2</v>
      </c>
      <c r="F565">
        <v>64.31</v>
      </c>
    </row>
    <row r="566" spans="1:6">
      <c r="A566">
        <v>1517</v>
      </c>
      <c r="B566" t="s">
        <v>1259</v>
      </c>
      <c r="C566">
        <v>12.9</v>
      </c>
      <c r="D566">
        <f>VLOOKUP(A566,收盤價!A:C,3,0)</f>
        <v>12.6</v>
      </c>
      <c r="E566" s="85">
        <v>-5.4263565891472951E-2</v>
      </c>
      <c r="F566">
        <v>64.25</v>
      </c>
    </row>
    <row r="567" spans="1:6">
      <c r="A567">
        <v>1810</v>
      </c>
      <c r="B567" t="s">
        <v>1343</v>
      </c>
      <c r="C567">
        <v>8.84</v>
      </c>
      <c r="D567">
        <f>VLOOKUP(A567,收盤價!A:C,3,0)</f>
        <v>8.51</v>
      </c>
      <c r="E567" s="85">
        <v>-5.4298642533936702E-2</v>
      </c>
      <c r="F567">
        <v>64.180000000000007</v>
      </c>
    </row>
    <row r="568" spans="1:6">
      <c r="A568">
        <v>1591</v>
      </c>
      <c r="B568" t="s">
        <v>2048</v>
      </c>
      <c r="C568">
        <v>28.5</v>
      </c>
      <c r="D568">
        <f>VLOOKUP(A568,收盤價!A:C,3,0)</f>
        <v>26.75</v>
      </c>
      <c r="E568" s="85">
        <v>-5.4385964912280725E-2</v>
      </c>
      <c r="F568">
        <v>64.12</v>
      </c>
    </row>
    <row r="569" spans="1:6">
      <c r="A569">
        <v>2415</v>
      </c>
      <c r="B569" t="s">
        <v>1477</v>
      </c>
      <c r="C569">
        <v>14.7</v>
      </c>
      <c r="D569" t="e">
        <f>VLOOKUP(A569,收盤價!A:B,3,0)</f>
        <v>#REF!</v>
      </c>
      <c r="E569" s="85">
        <v>-5.4421768707482922E-2</v>
      </c>
      <c r="F569">
        <v>64.06</v>
      </c>
    </row>
    <row r="570" spans="1:6">
      <c r="A570">
        <v>2358</v>
      </c>
      <c r="B570" t="s">
        <v>1437</v>
      </c>
      <c r="C570">
        <v>10.199999999999999</v>
      </c>
      <c r="D570" t="e">
        <f>VLOOKUP(A570,收盤價!A:B,3,0)</f>
        <v>#REF!</v>
      </c>
      <c r="E570" s="85">
        <v>-5.4901960784313607E-2</v>
      </c>
      <c r="F570">
        <v>63.99</v>
      </c>
    </row>
    <row r="571" spans="1:6">
      <c r="A571">
        <v>2722</v>
      </c>
      <c r="B571" t="s">
        <v>1598</v>
      </c>
      <c r="C571">
        <v>47.3</v>
      </c>
      <c r="D571" t="e">
        <f>VLOOKUP(A571,收盤價!A:B,3,0)</f>
        <v>#REF!</v>
      </c>
      <c r="E571" s="85">
        <v>-5.4968287526426941E-2</v>
      </c>
      <c r="F571">
        <v>63.93</v>
      </c>
    </row>
    <row r="572" spans="1:6">
      <c r="A572">
        <v>4305</v>
      </c>
      <c r="B572" t="s">
        <v>2192</v>
      </c>
      <c r="C572">
        <v>26.95</v>
      </c>
      <c r="D572" t="e">
        <f>VLOOKUP(A572,收盤價!A:B,3,0)</f>
        <v>#REF!</v>
      </c>
      <c r="E572" s="85">
        <v>-5.5658627087198514E-2</v>
      </c>
      <c r="F572">
        <v>63.87</v>
      </c>
    </row>
    <row r="573" spans="1:6">
      <c r="A573">
        <v>5410</v>
      </c>
      <c r="B573" t="s">
        <v>2276</v>
      </c>
      <c r="C573">
        <v>12.55</v>
      </c>
      <c r="D573" t="e">
        <f>VLOOKUP(A573,收盤價!A:B,3,0)</f>
        <v>#REF!</v>
      </c>
      <c r="E573" s="85">
        <v>-5.5776892430278967E-2</v>
      </c>
      <c r="F573">
        <v>63.8</v>
      </c>
    </row>
    <row r="574" spans="1:6">
      <c r="A574">
        <v>6207</v>
      </c>
      <c r="B574" t="s">
        <v>512</v>
      </c>
      <c r="C574">
        <v>28.6</v>
      </c>
      <c r="D574" t="e">
        <f>VLOOKUP(A574,收盤價!A:B,3,0)</f>
        <v>#REF!</v>
      </c>
      <c r="E574" s="85">
        <v>-5.5944055944055993E-2</v>
      </c>
      <c r="F574">
        <v>63.74</v>
      </c>
    </row>
    <row r="575" spans="1:6">
      <c r="A575">
        <v>5498</v>
      </c>
      <c r="B575" t="s">
        <v>2291</v>
      </c>
      <c r="C575">
        <v>8.86</v>
      </c>
      <c r="D575" t="e">
        <f>VLOOKUP(A575,收盤價!A:B,3,0)</f>
        <v>#REF!</v>
      </c>
      <c r="E575" s="85">
        <v>-5.6433408577878111E-2</v>
      </c>
      <c r="F575">
        <v>63.68</v>
      </c>
    </row>
    <row r="576" spans="1:6">
      <c r="A576">
        <v>1904</v>
      </c>
      <c r="B576" t="s">
        <v>1347</v>
      </c>
      <c r="C576">
        <v>12.25</v>
      </c>
      <c r="D576">
        <f>VLOOKUP(A576,收盤價!A:C,3,0)</f>
        <v>11.5</v>
      </c>
      <c r="E576" s="85">
        <v>-5.7142857142857086E-2</v>
      </c>
      <c r="F576">
        <v>63.61</v>
      </c>
    </row>
    <row r="577" spans="1:6">
      <c r="A577">
        <v>2903</v>
      </c>
      <c r="B577" t="s">
        <v>1638</v>
      </c>
      <c r="C577">
        <v>19.25</v>
      </c>
      <c r="D577" t="e">
        <f>VLOOKUP(A577,收盤價!A:B,3,0)</f>
        <v>#REF!</v>
      </c>
      <c r="E577" s="85">
        <v>-5.7142857142857217E-2</v>
      </c>
      <c r="F577">
        <v>63.55</v>
      </c>
    </row>
    <row r="578" spans="1:6">
      <c r="A578">
        <v>4735</v>
      </c>
      <c r="B578" t="s">
        <v>2220</v>
      </c>
      <c r="C578">
        <v>25.05</v>
      </c>
      <c r="D578" t="e">
        <f>VLOOKUP(A578,收盤價!A:B,3,0)</f>
        <v>#REF!</v>
      </c>
      <c r="E578" s="85">
        <v>-5.7884231536926116E-2</v>
      </c>
      <c r="F578">
        <v>63.49</v>
      </c>
    </row>
    <row r="579" spans="1:6">
      <c r="A579">
        <v>3615</v>
      </c>
      <c r="B579" t="s">
        <v>2150</v>
      </c>
      <c r="C579">
        <v>19</v>
      </c>
      <c r="D579" t="e">
        <f>VLOOKUP(A579,收盤價!A:B,3,0)</f>
        <v>#REF!</v>
      </c>
      <c r="E579" s="85">
        <v>-5.7894736842105339E-2</v>
      </c>
      <c r="F579">
        <v>63.42</v>
      </c>
    </row>
    <row r="580" spans="1:6">
      <c r="A580">
        <v>8406</v>
      </c>
      <c r="B580" t="s">
        <v>2432</v>
      </c>
      <c r="C580">
        <v>388.5</v>
      </c>
      <c r="D580" t="e">
        <f>VLOOKUP(A580,收盤價!A:B,3,0)</f>
        <v>#REF!</v>
      </c>
      <c r="E580" s="85">
        <v>-5.7915057915057917E-2</v>
      </c>
      <c r="F580">
        <v>63.36</v>
      </c>
    </row>
    <row r="581" spans="1:6">
      <c r="A581">
        <v>910322</v>
      </c>
      <c r="B581" t="s">
        <v>1980</v>
      </c>
      <c r="C581">
        <v>31</v>
      </c>
      <c r="D581" t="e">
        <f>VLOOKUP(A581,收盤價!A:B,3,0)</f>
        <v>#REF!</v>
      </c>
      <c r="E581" s="85">
        <v>-5.8064516129032281E-2</v>
      </c>
      <c r="F581">
        <v>63.3</v>
      </c>
    </row>
    <row r="582" spans="1:6">
      <c r="A582">
        <v>2910</v>
      </c>
      <c r="B582" t="s">
        <v>1643</v>
      </c>
      <c r="C582">
        <v>29.1</v>
      </c>
      <c r="D582" t="e">
        <f>VLOOKUP(A582,收盤價!A:B,3,0)</f>
        <v>#REF!</v>
      </c>
      <c r="E582" s="85">
        <v>-5.8419243986254393E-2</v>
      </c>
      <c r="F582">
        <v>63.23</v>
      </c>
    </row>
    <row r="583" spans="1:6">
      <c r="A583">
        <v>1815</v>
      </c>
      <c r="B583" t="s">
        <v>2056</v>
      </c>
      <c r="C583">
        <v>11.1</v>
      </c>
      <c r="D583">
        <f>VLOOKUP(A583,收盤價!A:C,3,0)</f>
        <v>10.75</v>
      </c>
      <c r="E583" s="85">
        <v>-5.8558558558558592E-2</v>
      </c>
      <c r="F583">
        <v>63.17</v>
      </c>
    </row>
    <row r="584" spans="1:6">
      <c r="A584">
        <v>2380</v>
      </c>
      <c r="B584" t="s">
        <v>1455</v>
      </c>
      <c r="C584">
        <v>7.85</v>
      </c>
      <c r="D584" t="e">
        <f>VLOOKUP(A584,收盤價!A:B,3,0)</f>
        <v>#REF!</v>
      </c>
      <c r="E584" s="85">
        <v>-5.8598726114649682E-2</v>
      </c>
      <c r="F584">
        <v>63.11</v>
      </c>
    </row>
    <row r="585" spans="1:6">
      <c r="A585">
        <v>9905</v>
      </c>
      <c r="B585" t="s">
        <v>2005</v>
      </c>
      <c r="C585">
        <v>30.7</v>
      </c>
      <c r="D585" t="e">
        <f>VLOOKUP(A585,收盤價!A:B,3,0)</f>
        <v>#REF!</v>
      </c>
      <c r="E585" s="85">
        <v>-5.8631921824104261E-2</v>
      </c>
      <c r="F585">
        <v>63.04</v>
      </c>
    </row>
    <row r="586" spans="1:6">
      <c r="A586">
        <v>2712</v>
      </c>
      <c r="B586" t="s">
        <v>1597</v>
      </c>
      <c r="C586">
        <v>25.5</v>
      </c>
      <c r="D586" t="e">
        <f>VLOOKUP(A586,收盤價!A:B,3,0)</f>
        <v>#REF!</v>
      </c>
      <c r="E586" s="85">
        <v>-5.8823529411764705E-2</v>
      </c>
      <c r="F586">
        <v>62.98</v>
      </c>
    </row>
    <row r="587" spans="1:6">
      <c r="A587">
        <v>6504</v>
      </c>
      <c r="B587" t="s">
        <v>1936</v>
      </c>
      <c r="C587">
        <v>185</v>
      </c>
      <c r="D587" t="e">
        <f>VLOOKUP(A587,收盤價!A:B,3,0)</f>
        <v>#REF!</v>
      </c>
      <c r="E587" s="85">
        <v>-5.9459459459459463E-2</v>
      </c>
      <c r="F587">
        <v>62.92</v>
      </c>
    </row>
    <row r="588" spans="1:6">
      <c r="A588">
        <v>1314</v>
      </c>
      <c r="B588" t="s">
        <v>1187</v>
      </c>
      <c r="C588">
        <v>9.57</v>
      </c>
      <c r="D588">
        <f>VLOOKUP(A588,收盤價!A:C,3,0)</f>
        <v>8.91</v>
      </c>
      <c r="E588" s="85">
        <v>-5.9561128526645794E-2</v>
      </c>
      <c r="F588">
        <v>62.86</v>
      </c>
    </row>
    <row r="589" spans="1:6">
      <c r="A589">
        <v>1310</v>
      </c>
      <c r="B589" t="s">
        <v>1183</v>
      </c>
      <c r="C589">
        <v>15.05</v>
      </c>
      <c r="D589">
        <f>VLOOKUP(A589,收盤價!A:C,3,0)</f>
        <v>14</v>
      </c>
      <c r="E589" s="85">
        <v>-5.9800664451827266E-2</v>
      </c>
      <c r="F589">
        <v>62.79</v>
      </c>
    </row>
    <row r="590" spans="1:6">
      <c r="A590">
        <v>1102</v>
      </c>
      <c r="B590" t="s">
        <v>1151</v>
      </c>
      <c r="C590">
        <v>36.5</v>
      </c>
      <c r="D590">
        <f>VLOOKUP(A590,收盤價!A:C,3,0)</f>
        <v>34.35</v>
      </c>
      <c r="E590" s="85">
        <v>-6.0273972602739805E-2</v>
      </c>
      <c r="F590">
        <v>62.73</v>
      </c>
    </row>
    <row r="591" spans="1:6">
      <c r="A591">
        <v>6160</v>
      </c>
      <c r="B591" t="s">
        <v>2336</v>
      </c>
      <c r="C591">
        <v>15.75</v>
      </c>
      <c r="D591" t="e">
        <f>VLOOKUP(A591,收盤價!A:B,3,0)</f>
        <v>#REF!</v>
      </c>
      <c r="E591" s="85">
        <v>-6.031746031746027E-2</v>
      </c>
      <c r="F591">
        <v>62.67</v>
      </c>
    </row>
    <row r="592" spans="1:6">
      <c r="A592">
        <v>1784</v>
      </c>
      <c r="B592" t="s">
        <v>2052</v>
      </c>
      <c r="C592">
        <v>34.799999999999997</v>
      </c>
      <c r="D592">
        <f>VLOOKUP(A592,收盤價!A:C,3,0)</f>
        <v>31.85</v>
      </c>
      <c r="E592" s="85">
        <v>-6.034482758620674E-2</v>
      </c>
      <c r="F592">
        <v>62.6</v>
      </c>
    </row>
    <row r="593" spans="1:6">
      <c r="A593">
        <v>2509</v>
      </c>
      <c r="B593" t="s">
        <v>1548</v>
      </c>
      <c r="C593">
        <v>24.7</v>
      </c>
      <c r="D593" t="e">
        <f>VLOOKUP(A593,收盤價!A:B,3,0)</f>
        <v>#REF!</v>
      </c>
      <c r="E593" s="85">
        <v>-6.0728744939271259E-2</v>
      </c>
      <c r="F593">
        <v>62.54</v>
      </c>
    </row>
    <row r="594" spans="1:6">
      <c r="A594">
        <v>6201</v>
      </c>
      <c r="B594" t="s">
        <v>1895</v>
      </c>
      <c r="C594">
        <v>26.3</v>
      </c>
      <c r="D594" t="e">
        <f>VLOOKUP(A594,收盤價!A:B,3,0)</f>
        <v>#REF!</v>
      </c>
      <c r="E594" s="85">
        <v>-6.083650190114074E-2</v>
      </c>
      <c r="F594">
        <v>62.48</v>
      </c>
    </row>
    <row r="595" spans="1:6">
      <c r="A595">
        <v>1584</v>
      </c>
      <c r="B595" t="s">
        <v>2046</v>
      </c>
      <c r="C595">
        <v>13.95</v>
      </c>
      <c r="D595">
        <f>VLOOKUP(A595,收盤價!A:C,3,0)</f>
        <v>13.35</v>
      </c>
      <c r="E595" s="85">
        <v>-6.0931899641577039E-2</v>
      </c>
      <c r="F595">
        <v>62.41</v>
      </c>
    </row>
    <row r="596" spans="1:6">
      <c r="A596">
        <v>1315</v>
      </c>
      <c r="B596" t="s">
        <v>1188</v>
      </c>
      <c r="C596">
        <v>24.6</v>
      </c>
      <c r="D596">
        <f>VLOOKUP(A596,收盤價!A:C,3,0)</f>
        <v>23.2</v>
      </c>
      <c r="E596" s="85">
        <v>-6.097560975609756E-2</v>
      </c>
      <c r="F596">
        <v>62.35</v>
      </c>
    </row>
    <row r="597" spans="1:6">
      <c r="A597">
        <v>4707</v>
      </c>
      <c r="B597" t="s">
        <v>428</v>
      </c>
      <c r="C597">
        <v>9.15</v>
      </c>
      <c r="D597" t="e">
        <f>VLOOKUP(A597,收盤價!A:B,3,0)</f>
        <v>#REF!</v>
      </c>
      <c r="E597" s="85">
        <v>-6.1202185792349775E-2</v>
      </c>
      <c r="F597">
        <v>62.29</v>
      </c>
    </row>
    <row r="598" spans="1:6">
      <c r="A598">
        <v>5511</v>
      </c>
      <c r="B598" t="s">
        <v>2293</v>
      </c>
      <c r="C598">
        <v>26.95</v>
      </c>
      <c r="D598" t="e">
        <f>VLOOKUP(A598,收盤價!A:B,3,0)</f>
        <v>#REF!</v>
      </c>
      <c r="E598" s="85">
        <v>-6.1224489795918317E-2</v>
      </c>
      <c r="F598">
        <v>62.22</v>
      </c>
    </row>
    <row r="599" spans="1:6">
      <c r="A599">
        <v>3374</v>
      </c>
      <c r="B599" t="s">
        <v>366</v>
      </c>
      <c r="C599">
        <v>44</v>
      </c>
      <c r="D599" t="e">
        <f>VLOOKUP(A599,收盤價!A:B,3,0)</f>
        <v>#REF!</v>
      </c>
      <c r="E599" s="85">
        <v>-6.1363636363636426E-2</v>
      </c>
      <c r="F599">
        <v>62.16</v>
      </c>
    </row>
    <row r="600" spans="1:6">
      <c r="A600">
        <v>5274</v>
      </c>
      <c r="B600" t="s">
        <v>2253</v>
      </c>
      <c r="C600">
        <v>340</v>
      </c>
      <c r="D600" t="e">
        <f>VLOOKUP(A600,收盤價!A:B,3,0)</f>
        <v>#REF!</v>
      </c>
      <c r="E600" s="85">
        <v>-6.1764705882352944E-2</v>
      </c>
      <c r="F600">
        <v>62.1</v>
      </c>
    </row>
    <row r="601" spans="1:6">
      <c r="A601">
        <v>2029</v>
      </c>
      <c r="B601" t="s">
        <v>1370</v>
      </c>
      <c r="C601">
        <v>20.2</v>
      </c>
      <c r="D601">
        <f>VLOOKUP(A601,收盤價!A:C,3,0)</f>
        <v>17.95</v>
      </c>
      <c r="E601" s="85">
        <v>-6.1881188118811881E-2</v>
      </c>
      <c r="F601">
        <v>62.03</v>
      </c>
    </row>
    <row r="602" spans="1:6">
      <c r="A602">
        <v>4430</v>
      </c>
      <c r="B602" t="s">
        <v>2200</v>
      </c>
      <c r="C602">
        <v>32.299999999999997</v>
      </c>
      <c r="D602" t="e">
        <f>VLOOKUP(A602,收盤價!A:B,3,0)</f>
        <v>#REF!</v>
      </c>
      <c r="E602" s="85">
        <v>-6.1919504643962744E-2</v>
      </c>
      <c r="F602">
        <v>61.97</v>
      </c>
    </row>
    <row r="603" spans="1:6">
      <c r="A603">
        <v>2812</v>
      </c>
      <c r="B603" t="s">
        <v>1604</v>
      </c>
      <c r="C603">
        <v>10.6</v>
      </c>
      <c r="D603" t="e">
        <f>VLOOKUP(A603,收盤價!A:B,3,0)</f>
        <v>#REF!</v>
      </c>
      <c r="E603" s="85">
        <v>-6.226415094339624E-2</v>
      </c>
      <c r="F603">
        <v>61.91</v>
      </c>
    </row>
    <row r="604" spans="1:6">
      <c r="A604">
        <v>6134</v>
      </c>
      <c r="B604" t="s">
        <v>2327</v>
      </c>
      <c r="C604">
        <v>6.84</v>
      </c>
      <c r="D604" t="e">
        <f>VLOOKUP(A604,收盤價!A:B,3,0)</f>
        <v>#REF!</v>
      </c>
      <c r="E604" s="85">
        <v>-6.2865497076023347E-2</v>
      </c>
      <c r="F604">
        <v>61.84</v>
      </c>
    </row>
    <row r="605" spans="1:6">
      <c r="A605">
        <v>2471</v>
      </c>
      <c r="B605" t="s">
        <v>1521</v>
      </c>
      <c r="C605">
        <v>15.85</v>
      </c>
      <c r="D605" t="e">
        <f>VLOOKUP(A605,收盤價!A:B,3,0)</f>
        <v>#REF!</v>
      </c>
      <c r="E605" s="85">
        <v>-6.3091482649842268E-2</v>
      </c>
      <c r="F605">
        <v>61.78</v>
      </c>
    </row>
    <row r="606" spans="1:6">
      <c r="A606">
        <v>2368</v>
      </c>
      <c r="B606" t="s">
        <v>1446</v>
      </c>
      <c r="C606">
        <v>12.65</v>
      </c>
      <c r="D606" t="e">
        <f>VLOOKUP(A606,收盤價!A:B,3,0)</f>
        <v>#REF!</v>
      </c>
      <c r="E606" s="85">
        <v>-6.324110671936764E-2</v>
      </c>
      <c r="F606">
        <v>61.72</v>
      </c>
    </row>
    <row r="607" spans="1:6">
      <c r="A607">
        <v>2063</v>
      </c>
      <c r="B607" t="s">
        <v>316</v>
      </c>
      <c r="C607">
        <v>26.05</v>
      </c>
      <c r="D607">
        <f>VLOOKUP(A607,收盤價!A:C,3,0)</f>
        <v>24.8</v>
      </c>
      <c r="E607" s="85">
        <v>-6.3339731285988563E-2</v>
      </c>
      <c r="F607">
        <v>61.66</v>
      </c>
    </row>
    <row r="608" spans="1:6">
      <c r="A608">
        <v>2913</v>
      </c>
      <c r="B608" t="s">
        <v>1646</v>
      </c>
      <c r="C608">
        <v>15.7</v>
      </c>
      <c r="D608" t="e">
        <f>VLOOKUP(A608,收盤價!A:B,3,0)</f>
        <v>#REF!</v>
      </c>
      <c r="E608" s="85">
        <v>-6.3694267515923567E-2</v>
      </c>
      <c r="F608">
        <v>61.59</v>
      </c>
    </row>
    <row r="609" spans="1:6">
      <c r="A609">
        <v>6139</v>
      </c>
      <c r="B609" t="s">
        <v>1874</v>
      </c>
      <c r="C609">
        <v>20.350000000000001</v>
      </c>
      <c r="D609" t="e">
        <f>VLOOKUP(A609,收盤價!A:B,3,0)</f>
        <v>#REF!</v>
      </c>
      <c r="E609" s="85">
        <v>-6.3882063882063911E-2</v>
      </c>
      <c r="F609">
        <v>61.53</v>
      </c>
    </row>
    <row r="610" spans="1:6">
      <c r="A610">
        <v>1477</v>
      </c>
      <c r="B610" t="s">
        <v>1249</v>
      </c>
      <c r="C610">
        <v>265.5</v>
      </c>
      <c r="D610">
        <f>VLOOKUP(A610,收盤價!A:C,3,0)</f>
        <v>246</v>
      </c>
      <c r="E610" s="85">
        <v>-6.4030131826741998E-2</v>
      </c>
      <c r="F610">
        <v>61.47</v>
      </c>
    </row>
    <row r="611" spans="1:6">
      <c r="A611">
        <v>9946</v>
      </c>
      <c r="B611" t="s">
        <v>2037</v>
      </c>
      <c r="C611">
        <v>17.95</v>
      </c>
      <c r="D611" t="e">
        <f>VLOOKUP(A611,收盤價!A:B,3,0)</f>
        <v>#REF!</v>
      </c>
      <c r="E611" s="85">
        <v>-6.4066852367687943E-2</v>
      </c>
      <c r="F611">
        <v>61.4</v>
      </c>
    </row>
    <row r="612" spans="1:6">
      <c r="A612">
        <v>3088</v>
      </c>
      <c r="B612" t="s">
        <v>328</v>
      </c>
      <c r="C612">
        <v>67.099999999999994</v>
      </c>
      <c r="D612" t="e">
        <f>VLOOKUP(A612,收盤價!A:B,3,0)</f>
        <v>#REF!</v>
      </c>
      <c r="E612" s="85">
        <v>-6.408345752608044E-2</v>
      </c>
      <c r="F612">
        <v>61.34</v>
      </c>
    </row>
    <row r="613" spans="1:6">
      <c r="A613">
        <v>1258</v>
      </c>
      <c r="B613" t="s">
        <v>2042</v>
      </c>
      <c r="C613">
        <v>47.55</v>
      </c>
      <c r="D613">
        <f>VLOOKUP(A613,收盤價!A:C,3,0)</f>
        <v>43</v>
      </c>
      <c r="E613" s="85">
        <v>-6.4143007360672924E-2</v>
      </c>
      <c r="F613">
        <v>61.28</v>
      </c>
    </row>
    <row r="614" spans="1:6">
      <c r="A614">
        <v>6274</v>
      </c>
      <c r="B614" t="s">
        <v>532</v>
      </c>
      <c r="C614">
        <v>25.55</v>
      </c>
      <c r="D614" t="e">
        <f>VLOOKUP(A614,收盤價!A:B,3,0)</f>
        <v>#REF!</v>
      </c>
      <c r="E614" s="85">
        <v>-6.4579256360078358E-2</v>
      </c>
      <c r="F614">
        <v>61.21</v>
      </c>
    </row>
    <row r="615" spans="1:6">
      <c r="A615">
        <v>5306</v>
      </c>
      <c r="B615" t="s">
        <v>2257</v>
      </c>
      <c r="C615">
        <v>138.5</v>
      </c>
      <c r="D615" t="e">
        <f>VLOOKUP(A615,收盤價!A:B,3,0)</f>
        <v>#REF!</v>
      </c>
      <c r="E615" s="85">
        <v>-6.4981949458483748E-2</v>
      </c>
      <c r="F615">
        <v>61.15</v>
      </c>
    </row>
    <row r="616" spans="1:6">
      <c r="A616">
        <v>9103</v>
      </c>
      <c r="B616" t="s">
        <v>1979</v>
      </c>
      <c r="C616">
        <v>2.2999999999999998</v>
      </c>
      <c r="D616" t="e">
        <f>VLOOKUP(A616,收盤價!A:B,3,0)</f>
        <v>#REF!</v>
      </c>
      <c r="E616" s="85">
        <v>-6.5217391304347797E-2</v>
      </c>
      <c r="F616">
        <v>61.09</v>
      </c>
    </row>
    <row r="617" spans="1:6">
      <c r="A617">
        <v>3491</v>
      </c>
      <c r="B617" t="s">
        <v>2127</v>
      </c>
      <c r="C617">
        <v>84.3</v>
      </c>
      <c r="D617" t="e">
        <f>VLOOKUP(A617,收盤價!A:B,3,0)</f>
        <v>#REF!</v>
      </c>
      <c r="E617" s="85">
        <v>-6.5243179122182679E-2</v>
      </c>
      <c r="F617">
        <v>61.02</v>
      </c>
    </row>
    <row r="618" spans="1:6">
      <c r="A618">
        <v>2603</v>
      </c>
      <c r="B618" t="s">
        <v>1573</v>
      </c>
      <c r="C618">
        <v>16</v>
      </c>
      <c r="D618" t="e">
        <f>VLOOKUP(A618,收盤價!A:B,3,0)</f>
        <v>#REF!</v>
      </c>
      <c r="E618" s="85">
        <v>-6.5625000000000044E-2</v>
      </c>
      <c r="F618">
        <v>60.96</v>
      </c>
    </row>
    <row r="619" spans="1:6">
      <c r="A619">
        <v>1217</v>
      </c>
      <c r="B619" t="s">
        <v>1162</v>
      </c>
      <c r="C619">
        <v>7.31</v>
      </c>
      <c r="D619">
        <f>VLOOKUP(A619,收盤價!A:C,3,0)</f>
        <v>6.94</v>
      </c>
      <c r="E619" s="85">
        <v>-6.5663474692202406E-2</v>
      </c>
      <c r="F619">
        <v>60.9</v>
      </c>
    </row>
    <row r="620" spans="1:6">
      <c r="A620">
        <v>8016</v>
      </c>
      <c r="B620" t="s">
        <v>1941</v>
      </c>
      <c r="C620">
        <v>100.5</v>
      </c>
      <c r="D620" t="e">
        <f>VLOOKUP(A620,收盤價!A:B,3,0)</f>
        <v>#REF!</v>
      </c>
      <c r="E620" s="85">
        <v>-6.5671641791044719E-2</v>
      </c>
      <c r="F620">
        <v>60.83</v>
      </c>
    </row>
    <row r="621" spans="1:6">
      <c r="A621">
        <v>6022</v>
      </c>
      <c r="B621" t="s">
        <v>2309</v>
      </c>
      <c r="C621">
        <v>10.6</v>
      </c>
      <c r="D621" t="e">
        <f>VLOOKUP(A621,收盤價!A:B,3,0)</f>
        <v>#REF!</v>
      </c>
      <c r="E621" s="85">
        <v>-6.6037735849056534E-2</v>
      </c>
      <c r="F621">
        <v>60.77</v>
      </c>
    </row>
    <row r="622" spans="1:6">
      <c r="A622">
        <v>8240</v>
      </c>
      <c r="B622" t="s">
        <v>2418</v>
      </c>
      <c r="C622">
        <v>21.85</v>
      </c>
      <c r="D622" t="e">
        <f>VLOOKUP(A622,收盤價!A:B,3,0)</f>
        <v>#REF!</v>
      </c>
      <c r="E622" s="85">
        <v>-6.6361556064073346E-2</v>
      </c>
      <c r="F622">
        <v>60.71</v>
      </c>
    </row>
    <row r="623" spans="1:6">
      <c r="A623">
        <v>3011</v>
      </c>
      <c r="B623" t="s">
        <v>1657</v>
      </c>
      <c r="C623">
        <v>7.07</v>
      </c>
      <c r="D623" t="e">
        <f>VLOOKUP(A623,收盤價!A:B,3,0)</f>
        <v>#REF!</v>
      </c>
      <c r="E623" s="85">
        <v>-6.6478076379066567E-2</v>
      </c>
      <c r="F623">
        <v>60.64</v>
      </c>
    </row>
    <row r="624" spans="1:6">
      <c r="A624">
        <v>2468</v>
      </c>
      <c r="B624" t="s">
        <v>1520</v>
      </c>
      <c r="C624">
        <v>11.2</v>
      </c>
      <c r="D624" t="e">
        <f>VLOOKUP(A624,收盤價!A:B,3,0)</f>
        <v>#REF!</v>
      </c>
      <c r="E624" s="85">
        <v>-6.6964285714285712E-2</v>
      </c>
      <c r="F624">
        <v>60.58</v>
      </c>
    </row>
    <row r="625" spans="1:6">
      <c r="A625">
        <v>2706</v>
      </c>
      <c r="B625" t="s">
        <v>1595</v>
      </c>
      <c r="C625">
        <v>20.9</v>
      </c>
      <c r="D625" t="e">
        <f>VLOOKUP(A625,收盤價!A:B,3,0)</f>
        <v>#REF!</v>
      </c>
      <c r="E625" s="85">
        <v>-6.6985645933014287E-2</v>
      </c>
      <c r="F625">
        <v>60.52</v>
      </c>
    </row>
    <row r="626" spans="1:6">
      <c r="A626">
        <v>2365</v>
      </c>
      <c r="B626" t="s">
        <v>1444</v>
      </c>
      <c r="C626">
        <v>10.45</v>
      </c>
      <c r="D626" t="e">
        <f>VLOOKUP(A626,收盤價!A:B,3,0)</f>
        <v>#REF!</v>
      </c>
      <c r="E626" s="85">
        <v>-6.6985645933014287E-2</v>
      </c>
      <c r="F626">
        <v>60.45</v>
      </c>
    </row>
    <row r="627" spans="1:6">
      <c r="A627">
        <v>2221</v>
      </c>
      <c r="B627" t="s">
        <v>2059</v>
      </c>
      <c r="C627">
        <v>18.649999999999999</v>
      </c>
      <c r="D627">
        <f>VLOOKUP(A627,收盤價!A:C,3,0)</f>
        <v>19.5</v>
      </c>
      <c r="E627" s="85">
        <v>-6.7024128686327081E-2</v>
      </c>
      <c r="F627">
        <v>60.39</v>
      </c>
    </row>
    <row r="628" spans="1:6">
      <c r="A628">
        <v>2926</v>
      </c>
      <c r="B628" t="s">
        <v>2070</v>
      </c>
      <c r="C628">
        <v>164</v>
      </c>
      <c r="D628" t="e">
        <f>VLOOKUP(A628,收盤價!A:B,3,0)</f>
        <v>#REF!</v>
      </c>
      <c r="E628" s="85">
        <v>-6.7073170731707321E-2</v>
      </c>
      <c r="F628">
        <v>60.33</v>
      </c>
    </row>
    <row r="629" spans="1:6">
      <c r="A629">
        <v>3622</v>
      </c>
      <c r="B629" t="s">
        <v>1766</v>
      </c>
      <c r="C629">
        <v>13.4</v>
      </c>
      <c r="D629" t="e">
        <f>VLOOKUP(A629,收盤價!A:B,3,0)</f>
        <v>#REF!</v>
      </c>
      <c r="E629" s="85">
        <v>-6.7164179104477639E-2</v>
      </c>
      <c r="F629">
        <v>60.27</v>
      </c>
    </row>
    <row r="630" spans="1:6">
      <c r="A630">
        <v>9908</v>
      </c>
      <c r="B630" t="s">
        <v>2008</v>
      </c>
      <c r="C630">
        <v>23.65</v>
      </c>
      <c r="D630" t="e">
        <f>VLOOKUP(A630,收盤價!A:B,3,0)</f>
        <v>#REF!</v>
      </c>
      <c r="E630" s="85">
        <v>-6.7653276955602457E-2</v>
      </c>
      <c r="F630">
        <v>60.2</v>
      </c>
    </row>
    <row r="631" spans="1:6">
      <c r="A631">
        <v>8210</v>
      </c>
      <c r="B631" t="s">
        <v>1959</v>
      </c>
      <c r="C631">
        <v>39.799999999999997</v>
      </c>
      <c r="D631" t="e">
        <f>VLOOKUP(A631,收盤價!A:B,3,0)</f>
        <v>#REF!</v>
      </c>
      <c r="E631" s="85">
        <v>-6.7839195979899389E-2</v>
      </c>
      <c r="F631">
        <v>60.14</v>
      </c>
    </row>
    <row r="632" spans="1:6">
      <c r="A632">
        <v>2010</v>
      </c>
      <c r="B632" t="s">
        <v>1357</v>
      </c>
      <c r="C632">
        <v>10.5</v>
      </c>
      <c r="D632">
        <f>VLOOKUP(A632,收盤價!A:C,3,0)</f>
        <v>9.6999999999999993</v>
      </c>
      <c r="E632" s="85">
        <v>-6.857142857142863E-2</v>
      </c>
      <c r="F632">
        <v>60.08</v>
      </c>
    </row>
    <row r="633" spans="1:6">
      <c r="A633">
        <v>4706</v>
      </c>
      <c r="B633" t="s">
        <v>2216</v>
      </c>
      <c r="C633">
        <v>15.25</v>
      </c>
      <c r="D633" t="e">
        <f>VLOOKUP(A633,收盤價!A:B,3,0)</f>
        <v>#REF!</v>
      </c>
      <c r="E633" s="85">
        <v>-6.8852459016393489E-2</v>
      </c>
      <c r="F633">
        <v>60.01</v>
      </c>
    </row>
    <row r="634" spans="1:6">
      <c r="A634">
        <v>5515</v>
      </c>
      <c r="B634" t="s">
        <v>1847</v>
      </c>
      <c r="C634">
        <v>10.85</v>
      </c>
      <c r="D634" t="e">
        <f>VLOOKUP(A634,收盤價!A:B,3,0)</f>
        <v>#REF!</v>
      </c>
      <c r="E634" s="85">
        <v>-6.9124423963133647E-2</v>
      </c>
      <c r="F634">
        <v>59.95</v>
      </c>
    </row>
    <row r="635" spans="1:6">
      <c r="A635">
        <v>2845</v>
      </c>
      <c r="B635" t="s">
        <v>1613</v>
      </c>
      <c r="C635">
        <v>10.85</v>
      </c>
      <c r="D635" t="e">
        <f>VLOOKUP(A635,收盤價!A:B,3,0)</f>
        <v>#REF!</v>
      </c>
      <c r="E635" s="85">
        <v>-6.9124423963133647E-2</v>
      </c>
      <c r="F635">
        <v>59.89</v>
      </c>
    </row>
    <row r="636" spans="1:6">
      <c r="A636">
        <v>2609</v>
      </c>
      <c r="B636" t="s">
        <v>1578</v>
      </c>
      <c r="C636">
        <v>10.8</v>
      </c>
      <c r="D636" t="e">
        <f>VLOOKUP(A636,收盤價!A:B,3,0)</f>
        <v>#REF!</v>
      </c>
      <c r="E636" s="85">
        <v>-6.9444444444444434E-2</v>
      </c>
      <c r="F636">
        <v>59.82</v>
      </c>
    </row>
    <row r="637" spans="1:6">
      <c r="A637">
        <v>3452</v>
      </c>
      <c r="B637" t="s">
        <v>2124</v>
      </c>
      <c r="C637">
        <v>12.95</v>
      </c>
      <c r="D637" t="e">
        <f>VLOOKUP(A637,收盤價!A:B,3,0)</f>
        <v>#REF!</v>
      </c>
      <c r="E637" s="85">
        <v>-6.9498069498069387E-2</v>
      </c>
      <c r="F637">
        <v>59.76</v>
      </c>
    </row>
    <row r="638" spans="1:6">
      <c r="A638">
        <v>6016</v>
      </c>
      <c r="B638" t="s">
        <v>2308</v>
      </c>
      <c r="C638">
        <v>7.19</v>
      </c>
      <c r="D638" t="e">
        <f>VLOOKUP(A638,收盤價!A:B,3,0)</f>
        <v>#REF!</v>
      </c>
      <c r="E638" s="85">
        <v>-6.9541029207232263E-2</v>
      </c>
      <c r="F638">
        <v>59.7</v>
      </c>
    </row>
    <row r="639" spans="1:6">
      <c r="A639" t="s">
        <v>301</v>
      </c>
      <c r="B639" t="s">
        <v>1352</v>
      </c>
      <c r="C639">
        <v>41.7</v>
      </c>
      <c r="D639" t="e">
        <f>VLOOKUP(A639,收盤價!A:B,3,0)</f>
        <v>#REF!</v>
      </c>
      <c r="E639" s="85">
        <v>-6.9544364508393422E-2</v>
      </c>
      <c r="F639">
        <v>59.63</v>
      </c>
    </row>
    <row r="640" spans="1:6">
      <c r="A640">
        <v>1512</v>
      </c>
      <c r="B640" t="s">
        <v>1254</v>
      </c>
      <c r="C640">
        <v>4.5599999999999996</v>
      </c>
      <c r="D640">
        <f>VLOOKUP(A640,收盤價!A:C,3,0)</f>
        <v>4.29</v>
      </c>
      <c r="E640" s="85">
        <v>-7.0175438596491099E-2</v>
      </c>
      <c r="F640">
        <v>59.57</v>
      </c>
    </row>
    <row r="641" spans="1:6">
      <c r="A641">
        <v>5525</v>
      </c>
      <c r="B641" t="s">
        <v>1851</v>
      </c>
      <c r="C641">
        <v>17.8</v>
      </c>
      <c r="D641" t="e">
        <f>VLOOKUP(A641,收盤價!A:B,3,0)</f>
        <v>#REF!</v>
      </c>
      <c r="E641" s="85">
        <v>-7.0224719101123587E-2</v>
      </c>
      <c r="F641">
        <v>59.51</v>
      </c>
    </row>
    <row r="642" spans="1:6">
      <c r="A642">
        <v>1531</v>
      </c>
      <c r="B642" t="s">
        <v>1270</v>
      </c>
      <c r="C642">
        <v>19.149999999999999</v>
      </c>
      <c r="D642">
        <f>VLOOKUP(A642,收盤價!A:C,3,0)</f>
        <v>17.75</v>
      </c>
      <c r="E642" s="85">
        <v>-7.0496083550913732E-2</v>
      </c>
      <c r="F642">
        <v>59.44</v>
      </c>
    </row>
    <row r="643" spans="1:6">
      <c r="A643">
        <v>1713</v>
      </c>
      <c r="B643" t="s">
        <v>1311</v>
      </c>
      <c r="C643">
        <v>17</v>
      </c>
      <c r="D643">
        <f>VLOOKUP(A643,收盤價!A:C,3,0)</f>
        <v>15.8</v>
      </c>
      <c r="E643" s="85">
        <v>-7.0588235294117604E-2</v>
      </c>
      <c r="F643">
        <v>59.38</v>
      </c>
    </row>
    <row r="644" spans="1:6">
      <c r="A644">
        <v>6023</v>
      </c>
      <c r="B644" t="s">
        <v>2310</v>
      </c>
      <c r="C644">
        <v>38.200000000000003</v>
      </c>
      <c r="D644" t="e">
        <f>VLOOKUP(A644,收盤價!A:B,3,0)</f>
        <v>#REF!</v>
      </c>
      <c r="E644" s="85">
        <v>-7.0680628272251383E-2</v>
      </c>
      <c r="F644">
        <v>59.32</v>
      </c>
    </row>
    <row r="645" spans="1:6">
      <c r="A645">
        <v>1514</v>
      </c>
      <c r="B645" t="s">
        <v>1256</v>
      </c>
      <c r="C645">
        <v>9.0299999999999994</v>
      </c>
      <c r="D645">
        <f>VLOOKUP(A645,收盤價!A:C,3,0)</f>
        <v>8.39</v>
      </c>
      <c r="E645" s="85">
        <v>-7.0874861572535863E-2</v>
      </c>
      <c r="F645">
        <v>59.25</v>
      </c>
    </row>
    <row r="646" spans="1:6">
      <c r="A646">
        <v>3305</v>
      </c>
      <c r="B646" t="s">
        <v>1716</v>
      </c>
      <c r="C646">
        <v>26.1</v>
      </c>
      <c r="D646" t="e">
        <f>VLOOKUP(A646,收盤價!A:B,3,0)</f>
        <v>#REF!</v>
      </c>
      <c r="E646" s="85">
        <v>-7.0881226053639904E-2</v>
      </c>
      <c r="F646">
        <v>59.19</v>
      </c>
    </row>
    <row r="647" spans="1:6">
      <c r="A647">
        <v>3332</v>
      </c>
      <c r="B647" t="s">
        <v>361</v>
      </c>
      <c r="C647">
        <v>41.45</v>
      </c>
      <c r="D647" t="e">
        <f>VLOOKUP(A647,收盤價!A:B,3,0)</f>
        <v>#REF!</v>
      </c>
      <c r="E647" s="85">
        <v>-7.1170084439083292E-2</v>
      </c>
      <c r="F647">
        <v>59.13</v>
      </c>
    </row>
    <row r="648" spans="1:6">
      <c r="A648">
        <v>2489</v>
      </c>
      <c r="B648" t="s">
        <v>1535</v>
      </c>
      <c r="C648">
        <v>17.5</v>
      </c>
      <c r="D648" t="e">
        <f>VLOOKUP(A648,收盤價!A:B,3,0)</f>
        <v>#REF!</v>
      </c>
      <c r="E648" s="85">
        <v>-7.1428571428571425E-2</v>
      </c>
      <c r="F648">
        <v>59.07</v>
      </c>
    </row>
    <row r="649" spans="1:6">
      <c r="A649">
        <v>2301</v>
      </c>
      <c r="B649" t="s">
        <v>1400</v>
      </c>
      <c r="C649">
        <v>36.200000000000003</v>
      </c>
      <c r="D649">
        <f>VLOOKUP(A649,收盤價!A:C,3,0)</f>
        <v>33.450000000000003</v>
      </c>
      <c r="E649" s="85">
        <v>-7.1823204419889541E-2</v>
      </c>
      <c r="F649">
        <v>59</v>
      </c>
    </row>
    <row r="650" spans="1:6">
      <c r="A650">
        <v>6239</v>
      </c>
      <c r="B650" t="s">
        <v>1909</v>
      </c>
      <c r="C650">
        <v>66.8</v>
      </c>
      <c r="D650" t="e">
        <f>VLOOKUP(A650,收盤價!A:B,3,0)</f>
        <v>#REF!</v>
      </c>
      <c r="E650" s="85">
        <v>-7.1856287425149656E-2</v>
      </c>
      <c r="F650">
        <v>58.94</v>
      </c>
    </row>
    <row r="651" spans="1:6">
      <c r="A651">
        <v>2701</v>
      </c>
      <c r="B651" t="s">
        <v>1591</v>
      </c>
      <c r="C651">
        <v>15.3</v>
      </c>
      <c r="D651" t="e">
        <f>VLOOKUP(A651,收盤價!A:B,3,0)</f>
        <v>#REF!</v>
      </c>
      <c r="E651" s="85">
        <v>-7.1895424836601399E-2</v>
      </c>
      <c r="F651">
        <v>58.88</v>
      </c>
    </row>
    <row r="652" spans="1:6">
      <c r="A652">
        <v>6414</v>
      </c>
      <c r="B652" t="s">
        <v>1926</v>
      </c>
      <c r="C652">
        <v>368.5</v>
      </c>
      <c r="D652" t="e">
        <f>VLOOKUP(A652,收盤價!A:B,3,0)</f>
        <v>#REF!</v>
      </c>
      <c r="E652" s="85">
        <v>-7.1913161465400277E-2</v>
      </c>
      <c r="F652">
        <v>58.81</v>
      </c>
    </row>
    <row r="653" spans="1:6">
      <c r="A653">
        <v>8054</v>
      </c>
      <c r="B653" t="s">
        <v>543</v>
      </c>
      <c r="C653">
        <v>24.25</v>
      </c>
      <c r="D653" t="e">
        <f>VLOOKUP(A653,收盤價!A:B,3,0)</f>
        <v>#REF!</v>
      </c>
      <c r="E653" s="85">
        <v>-7.2164948453608241E-2</v>
      </c>
      <c r="F653">
        <v>58.75</v>
      </c>
    </row>
    <row r="654" spans="1:6">
      <c r="A654">
        <v>5529</v>
      </c>
      <c r="B654" t="s">
        <v>2297</v>
      </c>
      <c r="C654">
        <v>9.7200000000000006</v>
      </c>
      <c r="D654" t="e">
        <f>VLOOKUP(A654,收盤價!A:B,3,0)</f>
        <v>#REF!</v>
      </c>
      <c r="E654" s="85">
        <v>-7.3045267489712018E-2</v>
      </c>
      <c r="F654">
        <v>58.69</v>
      </c>
    </row>
    <row r="655" spans="1:6">
      <c r="A655">
        <v>8072</v>
      </c>
      <c r="B655" t="s">
        <v>1947</v>
      </c>
      <c r="C655">
        <v>30.8</v>
      </c>
      <c r="D655" t="e">
        <f>VLOOKUP(A655,收盤價!A:B,3,0)</f>
        <v>#REF!</v>
      </c>
      <c r="E655" s="85">
        <v>-7.3051948051948049E-2</v>
      </c>
      <c r="F655">
        <v>58.62</v>
      </c>
    </row>
    <row r="656" spans="1:6">
      <c r="A656">
        <v>1443</v>
      </c>
      <c r="B656" t="s">
        <v>1220</v>
      </c>
      <c r="C656">
        <v>5.46</v>
      </c>
      <c r="D656">
        <f>VLOOKUP(A656,收盤價!A:C,3,0)</f>
        <v>5.09</v>
      </c>
      <c r="E656" s="85">
        <v>-7.3260073260073319E-2</v>
      </c>
      <c r="F656">
        <v>58.56</v>
      </c>
    </row>
    <row r="657" spans="1:6">
      <c r="A657">
        <v>1717</v>
      </c>
      <c r="B657" t="s">
        <v>1314</v>
      </c>
      <c r="C657">
        <v>32.65</v>
      </c>
      <c r="D657">
        <f>VLOOKUP(A657,收盤價!A:C,3,0)</f>
        <v>30.85</v>
      </c>
      <c r="E657" s="85">
        <v>-7.3506891271056626E-2</v>
      </c>
      <c r="F657">
        <v>58.5</v>
      </c>
    </row>
    <row r="658" spans="1:6">
      <c r="A658">
        <v>1259</v>
      </c>
      <c r="B658" t="s">
        <v>302</v>
      </c>
      <c r="C658">
        <v>63.7</v>
      </c>
      <c r="D658">
        <f>VLOOKUP(A658,收盤價!A:C,3,0)</f>
        <v>59.5</v>
      </c>
      <c r="E658" s="85">
        <v>-7.3783359497645251E-2</v>
      </c>
      <c r="F658">
        <v>58.43</v>
      </c>
    </row>
    <row r="659" spans="1:6">
      <c r="A659">
        <v>5478</v>
      </c>
      <c r="B659" t="s">
        <v>480</v>
      </c>
      <c r="C659">
        <v>62</v>
      </c>
      <c r="D659" t="e">
        <f>VLOOKUP(A659,收盤價!A:B,3,0)</f>
        <v>#REF!</v>
      </c>
      <c r="E659" s="85">
        <v>-7.4193548387096797E-2</v>
      </c>
      <c r="F659">
        <v>58.37</v>
      </c>
    </row>
    <row r="660" spans="1:6">
      <c r="A660">
        <v>3701</v>
      </c>
      <c r="B660" t="s">
        <v>1778</v>
      </c>
      <c r="C660">
        <v>9</v>
      </c>
      <c r="D660" t="e">
        <f>VLOOKUP(A660,收盤價!A:B,3,0)</f>
        <v>#REF!</v>
      </c>
      <c r="E660" s="85">
        <v>-7.4444444444444438E-2</v>
      </c>
      <c r="F660">
        <v>58.31</v>
      </c>
    </row>
    <row r="661" spans="1:6">
      <c r="A661">
        <v>4162</v>
      </c>
      <c r="B661" t="s">
        <v>411</v>
      </c>
      <c r="C661">
        <v>235</v>
      </c>
      <c r="D661" t="e">
        <f>VLOOKUP(A661,收盤價!A:B,3,0)</f>
        <v>#REF!</v>
      </c>
      <c r="E661" s="85">
        <v>-7.4468085106382975E-2</v>
      </c>
      <c r="F661">
        <v>58.24</v>
      </c>
    </row>
    <row r="662" spans="1:6">
      <c r="A662">
        <v>8913</v>
      </c>
      <c r="B662" t="s">
        <v>567</v>
      </c>
      <c r="C662">
        <v>16.75</v>
      </c>
      <c r="D662" t="e">
        <f>VLOOKUP(A662,收盤價!A:B,3,0)</f>
        <v>#REF!</v>
      </c>
      <c r="E662" s="85">
        <v>-7.4626865671641784E-2</v>
      </c>
      <c r="F662">
        <v>58.18</v>
      </c>
    </row>
    <row r="663" spans="1:6">
      <c r="A663">
        <v>5213</v>
      </c>
      <c r="B663" t="s">
        <v>2249</v>
      </c>
      <c r="C663">
        <v>17.399999999999999</v>
      </c>
      <c r="D663" t="e">
        <f>VLOOKUP(A663,收盤價!A:B,3,0)</f>
        <v>#REF!</v>
      </c>
      <c r="E663" s="85">
        <v>-7.4712643678160759E-2</v>
      </c>
      <c r="F663">
        <v>58.12</v>
      </c>
    </row>
    <row r="664" spans="1:6">
      <c r="A664">
        <v>3561</v>
      </c>
      <c r="B664" t="s">
        <v>1752</v>
      </c>
      <c r="C664">
        <v>18.05</v>
      </c>
      <c r="D664" t="e">
        <f>VLOOKUP(A664,收盤價!A:B,3,0)</f>
        <v>#REF!</v>
      </c>
      <c r="E664" s="85">
        <v>-7.4792243767313096E-2</v>
      </c>
      <c r="F664">
        <v>58.05</v>
      </c>
    </row>
    <row r="665" spans="1:6">
      <c r="A665">
        <v>2514</v>
      </c>
      <c r="B665" t="s">
        <v>1550</v>
      </c>
      <c r="C665">
        <v>22.7</v>
      </c>
      <c r="D665" t="e">
        <f>VLOOKUP(A665,收盤價!A:B,3,0)</f>
        <v>#REF!</v>
      </c>
      <c r="E665" s="85">
        <v>-7.4889867841409663E-2</v>
      </c>
      <c r="F665">
        <v>57.99</v>
      </c>
    </row>
    <row r="666" spans="1:6">
      <c r="A666">
        <v>2329</v>
      </c>
      <c r="B666" t="s">
        <v>1417</v>
      </c>
      <c r="C666">
        <v>12.65</v>
      </c>
      <c r="D666">
        <f>VLOOKUP(A666,收盤價!A:C,3,0)</f>
        <v>12.25</v>
      </c>
      <c r="E666" s="85">
        <v>-7.5098814229249092E-2</v>
      </c>
      <c r="F666">
        <v>57.93</v>
      </c>
    </row>
    <row r="667" spans="1:6">
      <c r="A667">
        <v>3171</v>
      </c>
      <c r="B667" t="s">
        <v>2088</v>
      </c>
      <c r="C667">
        <v>19.899999999999999</v>
      </c>
      <c r="D667" t="e">
        <f>VLOOKUP(A667,收盤價!A:B,3,0)</f>
        <v>#REF!</v>
      </c>
      <c r="E667" s="85">
        <v>-7.537688442211056E-2</v>
      </c>
      <c r="F667">
        <v>57.86</v>
      </c>
    </row>
    <row r="668" spans="1:6">
      <c r="A668">
        <v>5903</v>
      </c>
      <c r="B668" t="s">
        <v>2305</v>
      </c>
      <c r="C668">
        <v>232</v>
      </c>
      <c r="D668" t="e">
        <f>VLOOKUP(A668,收盤價!A:B,3,0)</f>
        <v>#REF!</v>
      </c>
      <c r="E668" s="85">
        <v>-7.5431034482758619E-2</v>
      </c>
      <c r="F668">
        <v>57.8</v>
      </c>
    </row>
    <row r="669" spans="1:6">
      <c r="A669">
        <v>8039</v>
      </c>
      <c r="B669" t="s">
        <v>1944</v>
      </c>
      <c r="C669">
        <v>42.9</v>
      </c>
      <c r="D669" t="e">
        <f>VLOOKUP(A669,收盤價!A:B,3,0)</f>
        <v>#REF!</v>
      </c>
      <c r="E669" s="85">
        <v>-7.575757575757576E-2</v>
      </c>
      <c r="F669">
        <v>57.74</v>
      </c>
    </row>
    <row r="670" spans="1:6">
      <c r="A670">
        <v>6109</v>
      </c>
      <c r="B670" t="s">
        <v>2316</v>
      </c>
      <c r="C670">
        <v>13.85</v>
      </c>
      <c r="D670" t="e">
        <f>VLOOKUP(A670,收盤價!A:B,3,0)</f>
        <v>#REF!</v>
      </c>
      <c r="E670" s="85">
        <v>-7.5812274368230972E-2</v>
      </c>
      <c r="F670">
        <v>57.68</v>
      </c>
    </row>
    <row r="671" spans="1:6">
      <c r="A671">
        <v>4503</v>
      </c>
      <c r="B671" t="s">
        <v>422</v>
      </c>
      <c r="C671">
        <v>13.85</v>
      </c>
      <c r="D671" t="e">
        <f>VLOOKUP(A671,收盤價!A:B,3,0)</f>
        <v>#REF!</v>
      </c>
      <c r="E671" s="85">
        <v>-7.5812274368230972E-2</v>
      </c>
      <c r="F671">
        <v>57.61</v>
      </c>
    </row>
    <row r="672" spans="1:6">
      <c r="A672">
        <v>8083</v>
      </c>
      <c r="B672" t="s">
        <v>549</v>
      </c>
      <c r="C672">
        <v>145</v>
      </c>
      <c r="D672" t="e">
        <f>VLOOKUP(A672,收盤價!A:B,3,0)</f>
        <v>#REF!</v>
      </c>
      <c r="E672" s="85">
        <v>-7.586206896551724E-2</v>
      </c>
      <c r="F672">
        <v>57.55</v>
      </c>
    </row>
    <row r="673" spans="1:6">
      <c r="A673">
        <v>3526</v>
      </c>
      <c r="B673" t="s">
        <v>2135</v>
      </c>
      <c r="C673">
        <v>24.35</v>
      </c>
      <c r="D673" t="e">
        <f>VLOOKUP(A673,收盤價!A:B,3,0)</f>
        <v>#REF!</v>
      </c>
      <c r="E673" s="85">
        <v>-7.5975359342915869E-2</v>
      </c>
      <c r="F673">
        <v>57.49</v>
      </c>
    </row>
    <row r="674" spans="1:6">
      <c r="A674">
        <v>6229</v>
      </c>
      <c r="B674" t="s">
        <v>518</v>
      </c>
      <c r="C674">
        <v>12.5</v>
      </c>
      <c r="D674" t="e">
        <f>VLOOKUP(A674,收盤價!A:B,3,0)</f>
        <v>#REF!</v>
      </c>
      <c r="E674" s="85">
        <v>-7.5999999999999943E-2</v>
      </c>
      <c r="F674">
        <v>57.42</v>
      </c>
    </row>
    <row r="675" spans="1:6">
      <c r="A675">
        <v>3217</v>
      </c>
      <c r="B675" t="s">
        <v>2094</v>
      </c>
      <c r="C675">
        <v>13.75</v>
      </c>
      <c r="D675" t="e">
        <f>VLOOKUP(A675,收盤價!A:B,3,0)</f>
        <v>#REF!</v>
      </c>
      <c r="E675" s="85">
        <v>-7.6363636363636411E-2</v>
      </c>
      <c r="F675">
        <v>57.36</v>
      </c>
    </row>
    <row r="676" spans="1:6">
      <c r="A676">
        <v>2369</v>
      </c>
      <c r="B676" t="s">
        <v>1447</v>
      </c>
      <c r="C676">
        <v>10.7</v>
      </c>
      <c r="D676" t="e">
        <f>VLOOKUP(A676,收盤價!A:B,3,0)</f>
        <v>#REF!</v>
      </c>
      <c r="E676" s="85">
        <v>-7.6635514018691453E-2</v>
      </c>
      <c r="F676">
        <v>57.3</v>
      </c>
    </row>
    <row r="677" spans="1:6">
      <c r="A677">
        <v>2904</v>
      </c>
      <c r="B677" t="s">
        <v>1639</v>
      </c>
      <c r="C677">
        <v>27.95</v>
      </c>
      <c r="D677" t="e">
        <f>VLOOKUP(A677,收盤價!A:B,3,0)</f>
        <v>#REF!</v>
      </c>
      <c r="E677" s="85">
        <v>-7.6923076923076872E-2</v>
      </c>
      <c r="F677">
        <v>57.23</v>
      </c>
    </row>
    <row r="678" spans="1:6">
      <c r="A678">
        <v>5340</v>
      </c>
      <c r="B678" t="s">
        <v>2264</v>
      </c>
      <c r="C678">
        <v>4.42</v>
      </c>
      <c r="D678" t="e">
        <f>VLOOKUP(A678,收盤價!A:B,3,0)</f>
        <v>#REF!</v>
      </c>
      <c r="E678" s="85">
        <v>-7.6923076923076886E-2</v>
      </c>
      <c r="F678">
        <v>57.17</v>
      </c>
    </row>
    <row r="679" spans="1:6">
      <c r="A679">
        <v>6216</v>
      </c>
      <c r="B679" t="s">
        <v>1903</v>
      </c>
      <c r="C679">
        <v>28.5</v>
      </c>
      <c r="D679" t="e">
        <f>VLOOKUP(A679,收盤價!A:B,3,0)</f>
        <v>#REF!</v>
      </c>
      <c r="E679" s="85">
        <v>-7.7192982456140327E-2</v>
      </c>
      <c r="F679">
        <v>57.11</v>
      </c>
    </row>
    <row r="680" spans="1:6">
      <c r="A680">
        <v>1437</v>
      </c>
      <c r="B680" t="s">
        <v>1214</v>
      </c>
      <c r="C680">
        <v>13.6</v>
      </c>
      <c r="D680">
        <f>VLOOKUP(A680,收盤價!A:C,3,0)</f>
        <v>11.75</v>
      </c>
      <c r="E680" s="85">
        <v>-7.7205882352941096E-2</v>
      </c>
      <c r="F680">
        <v>57.04</v>
      </c>
    </row>
    <row r="681" spans="1:6">
      <c r="A681">
        <v>1806</v>
      </c>
      <c r="B681" t="s">
        <v>1340</v>
      </c>
      <c r="C681">
        <v>7.64</v>
      </c>
      <c r="D681">
        <f>VLOOKUP(A681,收盤價!A:C,3,0)</f>
        <v>7.09</v>
      </c>
      <c r="E681" s="85">
        <v>-7.722513089005234E-2</v>
      </c>
      <c r="F681">
        <v>56.98</v>
      </c>
    </row>
    <row r="682" spans="1:6">
      <c r="A682">
        <v>3188</v>
      </c>
      <c r="B682" t="s">
        <v>338</v>
      </c>
      <c r="C682">
        <v>11</v>
      </c>
      <c r="D682" t="e">
        <f>VLOOKUP(A682,收盤價!A:B,3,0)</f>
        <v>#REF!</v>
      </c>
      <c r="E682" s="85">
        <v>-7.7272727272727243E-2</v>
      </c>
      <c r="F682">
        <v>56.92</v>
      </c>
    </row>
    <row r="683" spans="1:6">
      <c r="A683">
        <v>2504</v>
      </c>
      <c r="B683" t="s">
        <v>1545</v>
      </c>
      <c r="C683">
        <v>9.94</v>
      </c>
      <c r="D683" t="e">
        <f>VLOOKUP(A683,收盤價!A:B,3,0)</f>
        <v>#REF!</v>
      </c>
      <c r="E683" s="85">
        <v>-7.7464788732394332E-2</v>
      </c>
      <c r="F683">
        <v>56.85</v>
      </c>
    </row>
    <row r="684" spans="1:6">
      <c r="A684">
        <v>6412</v>
      </c>
      <c r="B684" t="s">
        <v>1925</v>
      </c>
      <c r="C684">
        <v>42.6</v>
      </c>
      <c r="D684" t="e">
        <f>VLOOKUP(A684,收盤價!A:B,3,0)</f>
        <v>#REF!</v>
      </c>
      <c r="E684" s="85">
        <v>-7.7464788732394457E-2</v>
      </c>
      <c r="F684">
        <v>56.79</v>
      </c>
    </row>
    <row r="685" spans="1:6">
      <c r="A685">
        <v>2838</v>
      </c>
      <c r="B685" t="s">
        <v>1611</v>
      </c>
      <c r="C685">
        <v>10.45</v>
      </c>
      <c r="D685" t="e">
        <f>VLOOKUP(A685,收盤價!A:B,3,0)</f>
        <v>#REF!</v>
      </c>
      <c r="E685" s="85">
        <v>-7.7511961722487921E-2</v>
      </c>
      <c r="F685">
        <v>56.73</v>
      </c>
    </row>
    <row r="686" spans="1:6">
      <c r="A686">
        <v>2424</v>
      </c>
      <c r="B686" t="s">
        <v>1483</v>
      </c>
      <c r="C686">
        <v>33.5</v>
      </c>
      <c r="D686" t="e">
        <f>VLOOKUP(A686,收盤價!A:B,3,0)</f>
        <v>#REF!</v>
      </c>
      <c r="E686" s="85">
        <v>-7.7611940298507501E-2</v>
      </c>
      <c r="F686">
        <v>56.66</v>
      </c>
    </row>
    <row r="687" spans="1:6">
      <c r="A687">
        <v>4175</v>
      </c>
      <c r="B687" t="s">
        <v>416</v>
      </c>
      <c r="C687">
        <v>79.7</v>
      </c>
      <c r="D687" t="e">
        <f>VLOOKUP(A687,收盤價!A:B,3,0)</f>
        <v>#REF!</v>
      </c>
      <c r="E687" s="85">
        <v>-7.7791718946047708E-2</v>
      </c>
      <c r="F687">
        <v>56.6</v>
      </c>
    </row>
    <row r="688" spans="1:6">
      <c r="A688">
        <v>1583</v>
      </c>
      <c r="B688" t="s">
        <v>1284</v>
      </c>
      <c r="C688">
        <v>70.7</v>
      </c>
      <c r="D688">
        <f>VLOOKUP(A688,收盤價!A:C,3,0)</f>
        <v>64.5</v>
      </c>
      <c r="E688" s="85">
        <v>-7.7793493635077787E-2</v>
      </c>
      <c r="F688">
        <v>56.54</v>
      </c>
    </row>
    <row r="689" spans="1:6">
      <c r="A689">
        <v>8040</v>
      </c>
      <c r="B689" t="s">
        <v>2384</v>
      </c>
      <c r="C689">
        <v>8.85</v>
      </c>
      <c r="D689" t="e">
        <f>VLOOKUP(A689,收盤價!A:B,3,0)</f>
        <v>#REF!</v>
      </c>
      <c r="E689" s="85">
        <v>-7.7966101694915205E-2</v>
      </c>
      <c r="F689">
        <v>56.48</v>
      </c>
    </row>
    <row r="690" spans="1:6">
      <c r="A690">
        <v>6235</v>
      </c>
      <c r="B690" t="s">
        <v>1908</v>
      </c>
      <c r="C690">
        <v>10</v>
      </c>
      <c r="D690" t="e">
        <f>VLOOKUP(A690,收盤價!A:B,3,0)</f>
        <v>#REF!</v>
      </c>
      <c r="E690" s="85">
        <v>-7.7999999999999931E-2</v>
      </c>
      <c r="F690">
        <v>56.41</v>
      </c>
    </row>
    <row r="691" spans="1:6">
      <c r="A691">
        <v>3236</v>
      </c>
      <c r="B691" t="s">
        <v>347</v>
      </c>
      <c r="C691">
        <v>12.8</v>
      </c>
      <c r="D691" t="e">
        <f>VLOOKUP(A691,收盤價!A:B,3,0)</f>
        <v>#REF!</v>
      </c>
      <c r="E691" s="85">
        <v>-7.8125E-2</v>
      </c>
      <c r="F691">
        <v>56.35</v>
      </c>
    </row>
    <row r="692" spans="1:6">
      <c r="A692">
        <v>2601</v>
      </c>
      <c r="B692" t="s">
        <v>1572</v>
      </c>
      <c r="C692">
        <v>12.8</v>
      </c>
      <c r="D692" t="e">
        <f>VLOOKUP(A692,收盤價!A:B,3,0)</f>
        <v>#REF!</v>
      </c>
      <c r="E692" s="85">
        <v>-7.8125E-2</v>
      </c>
      <c r="F692">
        <v>56.29</v>
      </c>
    </row>
    <row r="693" spans="1:6">
      <c r="A693">
        <v>1210</v>
      </c>
      <c r="B693" t="s">
        <v>1158</v>
      </c>
      <c r="C693">
        <v>21.75</v>
      </c>
      <c r="D693">
        <f>VLOOKUP(A693,收盤價!A:C,3,0)</f>
        <v>20.100000000000001</v>
      </c>
      <c r="E693" s="85">
        <v>-7.8160919540229856E-2</v>
      </c>
      <c r="F693">
        <v>56.22</v>
      </c>
    </row>
    <row r="694" spans="1:6">
      <c r="A694">
        <v>1463</v>
      </c>
      <c r="B694" t="s">
        <v>1235</v>
      </c>
      <c r="C694">
        <v>17.25</v>
      </c>
      <c r="D694">
        <f>VLOOKUP(A694,收盤價!A:C,3,0)</f>
        <v>16</v>
      </c>
      <c r="E694" s="85">
        <v>-7.826086956521737E-2</v>
      </c>
      <c r="F694">
        <v>56.16</v>
      </c>
    </row>
    <row r="695" spans="1:6">
      <c r="A695">
        <v>2856</v>
      </c>
      <c r="B695" t="s">
        <v>1620</v>
      </c>
      <c r="C695">
        <v>10.050000000000001</v>
      </c>
      <c r="D695" t="e">
        <f>VLOOKUP(A695,收盤價!A:B,3,0)</f>
        <v>#REF!</v>
      </c>
      <c r="E695" s="85">
        <v>-7.8606965174129434E-2</v>
      </c>
      <c r="F695">
        <v>56.1</v>
      </c>
    </row>
    <row r="696" spans="1:6">
      <c r="A696">
        <v>1734</v>
      </c>
      <c r="B696" t="s">
        <v>1329</v>
      </c>
      <c r="C696">
        <v>30.4</v>
      </c>
      <c r="D696">
        <f>VLOOKUP(A696,收盤價!A:C,3,0)</f>
        <v>28.65</v>
      </c>
      <c r="E696" s="85">
        <v>-7.8947368421052586E-2</v>
      </c>
      <c r="F696">
        <v>56.03</v>
      </c>
    </row>
    <row r="697" spans="1:6">
      <c r="A697">
        <v>2641</v>
      </c>
      <c r="B697" t="s">
        <v>2063</v>
      </c>
      <c r="C697">
        <v>9.85</v>
      </c>
      <c r="D697" t="e">
        <f>VLOOKUP(A697,收盤價!A:B,3,0)</f>
        <v>#REF!</v>
      </c>
      <c r="E697" s="85">
        <v>-7.9187817258883186E-2</v>
      </c>
      <c r="F697">
        <v>55.97</v>
      </c>
    </row>
    <row r="698" spans="1:6">
      <c r="A698">
        <v>1460</v>
      </c>
      <c r="B698" t="s">
        <v>1234</v>
      </c>
      <c r="C698">
        <v>18.25</v>
      </c>
      <c r="D698">
        <f>VLOOKUP(A698,收盤價!A:C,3,0)</f>
        <v>17.3</v>
      </c>
      <c r="E698" s="85">
        <v>-7.9452054794520513E-2</v>
      </c>
      <c r="F698">
        <v>55.91</v>
      </c>
    </row>
    <row r="699" spans="1:6">
      <c r="A699">
        <v>2038</v>
      </c>
      <c r="B699" t="s">
        <v>1376</v>
      </c>
      <c r="C699">
        <v>6.63</v>
      </c>
      <c r="D699">
        <f>VLOOKUP(A699,收盤價!A:C,3,0)</f>
        <v>5.98</v>
      </c>
      <c r="E699" s="85">
        <v>-7.9939668174962328E-2</v>
      </c>
      <c r="F699">
        <v>55.84</v>
      </c>
    </row>
    <row r="700" spans="1:6">
      <c r="A700">
        <v>3537</v>
      </c>
      <c r="B700" t="s">
        <v>382</v>
      </c>
      <c r="C700">
        <v>18.649999999999999</v>
      </c>
      <c r="D700" t="e">
        <f>VLOOKUP(A700,收盤價!A:B,3,0)</f>
        <v>#REF!</v>
      </c>
      <c r="E700" s="85">
        <v>-8.0428954423592505E-2</v>
      </c>
      <c r="F700">
        <v>55.78</v>
      </c>
    </row>
    <row r="701" spans="1:6">
      <c r="A701">
        <v>6603</v>
      </c>
      <c r="B701" t="s">
        <v>539</v>
      </c>
      <c r="C701">
        <v>12.4</v>
      </c>
      <c r="D701" t="e">
        <f>VLOOKUP(A701,收盤價!A:B,3,0)</f>
        <v>#REF!</v>
      </c>
      <c r="E701" s="85">
        <v>-8.0645161290322578E-2</v>
      </c>
      <c r="F701">
        <v>55.72</v>
      </c>
    </row>
    <row r="702" spans="1:6">
      <c r="A702">
        <v>2457</v>
      </c>
      <c r="B702" t="s">
        <v>1510</v>
      </c>
      <c r="C702">
        <v>11.15</v>
      </c>
      <c r="D702" t="e">
        <f>VLOOKUP(A702,收盤價!A:B,3,0)</f>
        <v>#REF!</v>
      </c>
      <c r="E702" s="85">
        <v>-8.0717488789237693E-2</v>
      </c>
      <c r="F702">
        <v>55.65</v>
      </c>
    </row>
    <row r="703" spans="1:6">
      <c r="A703">
        <v>6230</v>
      </c>
      <c r="B703" t="s">
        <v>1907</v>
      </c>
      <c r="C703">
        <v>76.8</v>
      </c>
      <c r="D703" t="e">
        <f>VLOOKUP(A703,收盤價!A:B,3,0)</f>
        <v>#REF!</v>
      </c>
      <c r="E703" s="85">
        <v>-8.0729166666666713E-2</v>
      </c>
      <c r="F703">
        <v>55.59</v>
      </c>
    </row>
    <row r="704" spans="1:6">
      <c r="A704">
        <v>1712</v>
      </c>
      <c r="B704" t="s">
        <v>1310</v>
      </c>
      <c r="C704">
        <v>15.45</v>
      </c>
      <c r="D704">
        <f>VLOOKUP(A704,收盤價!A:C,3,0)</f>
        <v>14.1</v>
      </c>
      <c r="E704" s="85">
        <v>-8.0906148867313926E-2</v>
      </c>
      <c r="F704">
        <v>55.53</v>
      </c>
    </row>
    <row r="705" spans="1:6">
      <c r="A705">
        <v>1707</v>
      </c>
      <c r="B705" t="s">
        <v>1305</v>
      </c>
      <c r="C705">
        <v>197</v>
      </c>
      <c r="D705">
        <f>VLOOKUP(A705,收盤價!A:C,3,0)</f>
        <v>178</v>
      </c>
      <c r="E705" s="85">
        <v>-8.1218274111675121E-2</v>
      </c>
      <c r="F705">
        <v>55.46</v>
      </c>
    </row>
    <row r="706" spans="1:6">
      <c r="A706">
        <v>3665</v>
      </c>
      <c r="B706" t="s">
        <v>1770</v>
      </c>
      <c r="C706">
        <v>166</v>
      </c>
      <c r="D706" t="e">
        <f>VLOOKUP(A706,收盤價!A:B,3,0)</f>
        <v>#REF!</v>
      </c>
      <c r="E706" s="85">
        <v>-8.1325301204819275E-2</v>
      </c>
      <c r="F706">
        <v>55.4</v>
      </c>
    </row>
    <row r="707" spans="1:6">
      <c r="A707">
        <v>2615</v>
      </c>
      <c r="B707" t="s">
        <v>1584</v>
      </c>
      <c r="C707">
        <v>24.5</v>
      </c>
      <c r="D707" t="e">
        <f>VLOOKUP(A707,收盤價!A:B,3,0)</f>
        <v>#REF!</v>
      </c>
      <c r="E707" s="85">
        <v>-8.1632653061224483E-2</v>
      </c>
      <c r="F707">
        <v>55.34</v>
      </c>
    </row>
    <row r="708" spans="1:6">
      <c r="A708">
        <v>1423</v>
      </c>
      <c r="B708" t="s">
        <v>1209</v>
      </c>
      <c r="C708">
        <v>7.83</v>
      </c>
      <c r="D708">
        <f>VLOOKUP(A708,收盤價!A:C,3,0)</f>
        <v>7.19</v>
      </c>
      <c r="E708" s="85">
        <v>-8.1736909323116183E-2</v>
      </c>
      <c r="F708">
        <v>55.27</v>
      </c>
    </row>
    <row r="709" spans="1:6">
      <c r="A709">
        <v>1733</v>
      </c>
      <c r="B709" t="s">
        <v>1328</v>
      </c>
      <c r="C709">
        <v>45.65</v>
      </c>
      <c r="D709">
        <f>VLOOKUP(A709,收盤價!A:C,3,0)</f>
        <v>42.8</v>
      </c>
      <c r="E709" s="85">
        <v>-8.2146768893756841E-2</v>
      </c>
      <c r="F709">
        <v>55.21</v>
      </c>
    </row>
    <row r="710" spans="1:6">
      <c r="A710">
        <v>3002</v>
      </c>
      <c r="B710" t="s">
        <v>1650</v>
      </c>
      <c r="C710">
        <v>12.15</v>
      </c>
      <c r="D710" t="e">
        <f>VLOOKUP(A710,收盤價!A:B,3,0)</f>
        <v>#REF!</v>
      </c>
      <c r="E710" s="85">
        <v>-8.2304526748971193E-2</v>
      </c>
      <c r="F710">
        <v>55.15</v>
      </c>
    </row>
    <row r="711" spans="1:6">
      <c r="A711">
        <v>1402</v>
      </c>
      <c r="B711" t="s">
        <v>1200</v>
      </c>
      <c r="C711">
        <v>32.700000000000003</v>
      </c>
      <c r="D711">
        <f>VLOOKUP(A711,收盤價!A:C,3,0)</f>
        <v>30.05</v>
      </c>
      <c r="E711" s="85">
        <v>-8.2568807339449615E-2</v>
      </c>
      <c r="F711">
        <v>55.09</v>
      </c>
    </row>
    <row r="712" spans="1:6">
      <c r="A712">
        <v>2206</v>
      </c>
      <c r="B712" t="s">
        <v>1393</v>
      </c>
      <c r="C712">
        <v>24.8</v>
      </c>
      <c r="D712">
        <f>VLOOKUP(A712,收盤價!A:C,3,0)</f>
        <v>22.2</v>
      </c>
      <c r="E712" s="85">
        <v>-8.2661290322580669E-2</v>
      </c>
      <c r="F712">
        <v>55.02</v>
      </c>
    </row>
    <row r="713" spans="1:6">
      <c r="A713">
        <v>6218</v>
      </c>
      <c r="B713" t="s">
        <v>2353</v>
      </c>
      <c r="C713">
        <v>18.7</v>
      </c>
      <c r="D713" t="e">
        <f>VLOOKUP(A713,收盤價!A:B,3,0)</f>
        <v>#REF!</v>
      </c>
      <c r="E713" s="85">
        <v>-8.2887700534759398E-2</v>
      </c>
      <c r="F713">
        <v>54.96</v>
      </c>
    </row>
    <row r="714" spans="1:6">
      <c r="A714">
        <v>1333</v>
      </c>
      <c r="B714" t="s">
        <v>304</v>
      </c>
      <c r="C714">
        <v>5.54</v>
      </c>
      <c r="D714">
        <f>VLOOKUP(A714,收盤價!A:C,3,0)</f>
        <v>5.23</v>
      </c>
      <c r="E714" s="85">
        <v>-8.3032490974729228E-2</v>
      </c>
      <c r="F714">
        <v>54.9</v>
      </c>
    </row>
    <row r="715" spans="1:6">
      <c r="A715">
        <v>2618</v>
      </c>
      <c r="B715" t="s">
        <v>1587</v>
      </c>
      <c r="C715">
        <v>21.05</v>
      </c>
      <c r="D715" t="e">
        <f>VLOOKUP(A715,收盤價!A:B,3,0)</f>
        <v>#REF!</v>
      </c>
      <c r="E715" s="85">
        <v>-8.3135391923990498E-2</v>
      </c>
      <c r="F715">
        <v>54.83</v>
      </c>
    </row>
    <row r="716" spans="1:6">
      <c r="A716">
        <v>1808</v>
      </c>
      <c r="B716" t="s">
        <v>1341</v>
      </c>
      <c r="C716">
        <v>32.35</v>
      </c>
      <c r="D716">
        <f>VLOOKUP(A716,收盤價!A:C,3,0)</f>
        <v>28.25</v>
      </c>
      <c r="E716" s="85">
        <v>-8.3462132921174742E-2</v>
      </c>
      <c r="F716">
        <v>54.77</v>
      </c>
    </row>
    <row r="717" spans="1:6">
      <c r="A717">
        <v>2360</v>
      </c>
      <c r="B717" t="s">
        <v>1439</v>
      </c>
      <c r="C717">
        <v>68.2</v>
      </c>
      <c r="D717" t="e">
        <f>VLOOKUP(A717,收盤價!A:B,3,0)</f>
        <v>#REF!</v>
      </c>
      <c r="E717" s="85">
        <v>-8.3577712609970711E-2</v>
      </c>
      <c r="F717">
        <v>54.71</v>
      </c>
    </row>
    <row r="718" spans="1:6">
      <c r="A718">
        <v>8112</v>
      </c>
      <c r="B718" t="s">
        <v>1953</v>
      </c>
      <c r="C718">
        <v>14.9</v>
      </c>
      <c r="D718" t="e">
        <f>VLOOKUP(A718,收盤價!A:B,3,0)</f>
        <v>#REF!</v>
      </c>
      <c r="E718" s="85">
        <v>-8.3892617449664433E-2</v>
      </c>
      <c r="F718">
        <v>54.64</v>
      </c>
    </row>
    <row r="719" spans="1:6">
      <c r="A719">
        <v>2355</v>
      </c>
      <c r="B719" t="s">
        <v>1434</v>
      </c>
      <c r="C719">
        <v>47</v>
      </c>
      <c r="D719" t="e">
        <f>VLOOKUP(A719,收盤價!A:B,3,0)</f>
        <v>#REF!</v>
      </c>
      <c r="E719" s="85">
        <v>-8.4042553191489427E-2</v>
      </c>
      <c r="F719">
        <v>54.58</v>
      </c>
    </row>
    <row r="720" spans="1:6">
      <c r="A720">
        <v>2527</v>
      </c>
      <c r="B720" t="s">
        <v>1555</v>
      </c>
      <c r="C720">
        <v>19</v>
      </c>
      <c r="D720" t="e">
        <f>VLOOKUP(A720,收盤價!A:B,3,0)</f>
        <v>#REF!</v>
      </c>
      <c r="E720" s="85">
        <v>-8.4210526315789555E-2</v>
      </c>
      <c r="F720">
        <v>54.52</v>
      </c>
    </row>
    <row r="721" spans="1:6">
      <c r="A721">
        <v>6112</v>
      </c>
      <c r="B721" t="s">
        <v>1865</v>
      </c>
      <c r="C721">
        <v>30.2</v>
      </c>
      <c r="D721" t="e">
        <f>VLOOKUP(A721,收盤價!A:B,3,0)</f>
        <v>#REF!</v>
      </c>
      <c r="E721" s="85">
        <v>-8.4437086092715261E-2</v>
      </c>
      <c r="F721">
        <v>54.45</v>
      </c>
    </row>
    <row r="722" spans="1:6">
      <c r="A722">
        <v>3090</v>
      </c>
      <c r="B722" t="s">
        <v>1703</v>
      </c>
      <c r="C722">
        <v>26</v>
      </c>
      <c r="D722" t="e">
        <f>VLOOKUP(A722,收盤價!A:B,3,0)</f>
        <v>#REF!</v>
      </c>
      <c r="E722" s="85">
        <v>-8.4615384615384592E-2</v>
      </c>
      <c r="F722">
        <v>54.39</v>
      </c>
    </row>
    <row r="723" spans="1:6">
      <c r="A723">
        <v>2066</v>
      </c>
      <c r="B723" t="s">
        <v>318</v>
      </c>
      <c r="C723">
        <v>106</v>
      </c>
      <c r="D723">
        <f>VLOOKUP(A723,收盤價!A:C,3,0)</f>
        <v>97.5</v>
      </c>
      <c r="E723" s="85">
        <v>-8.4905660377358486E-2</v>
      </c>
      <c r="F723">
        <v>54.33</v>
      </c>
    </row>
    <row r="724" spans="1:6">
      <c r="A724">
        <v>1568</v>
      </c>
      <c r="B724" t="s">
        <v>1282</v>
      </c>
      <c r="C724">
        <v>18.25</v>
      </c>
      <c r="D724">
        <f>VLOOKUP(A724,收盤價!A:C,3,0)</f>
        <v>16.600000000000001</v>
      </c>
      <c r="E724" s="85">
        <v>-8.4931506849315108E-2</v>
      </c>
      <c r="F724">
        <v>54.26</v>
      </c>
    </row>
    <row r="725" spans="1:6">
      <c r="A725">
        <v>5392</v>
      </c>
      <c r="B725" t="s">
        <v>2274</v>
      </c>
      <c r="C725">
        <v>58.7</v>
      </c>
      <c r="D725" t="e">
        <f>VLOOKUP(A725,收盤價!A:B,3,0)</f>
        <v>#REF!</v>
      </c>
      <c r="E725" s="85">
        <v>-8.5178875638841564E-2</v>
      </c>
      <c r="F725">
        <v>54.2</v>
      </c>
    </row>
    <row r="726" spans="1:6">
      <c r="A726">
        <v>6107</v>
      </c>
      <c r="B726" t="s">
        <v>2315</v>
      </c>
      <c r="C726">
        <v>89</v>
      </c>
      <c r="D726" t="e">
        <f>VLOOKUP(A726,收盤價!A:B,3,0)</f>
        <v>#REF!</v>
      </c>
      <c r="E726" s="85">
        <v>-8.5393258426966226E-2</v>
      </c>
      <c r="F726">
        <v>54.14</v>
      </c>
    </row>
    <row r="727" spans="1:6">
      <c r="A727">
        <v>8937</v>
      </c>
      <c r="B727" t="s">
        <v>2451</v>
      </c>
      <c r="C727">
        <v>13.45</v>
      </c>
      <c r="D727" t="e">
        <f>VLOOKUP(A727,收盤價!A:B,3,0)</f>
        <v>#REF!</v>
      </c>
      <c r="E727" s="85">
        <v>-8.550185873605938E-2</v>
      </c>
      <c r="F727">
        <v>54.07</v>
      </c>
    </row>
    <row r="728" spans="1:6">
      <c r="A728">
        <v>5355</v>
      </c>
      <c r="B728" t="s">
        <v>466</v>
      </c>
      <c r="C728">
        <v>7.82</v>
      </c>
      <c r="D728" t="e">
        <f>VLOOKUP(A728,收盤價!A:B,3,0)</f>
        <v>#REF!</v>
      </c>
      <c r="E728" s="85">
        <v>-8.56777493606138E-2</v>
      </c>
      <c r="F728">
        <v>54.01</v>
      </c>
    </row>
    <row r="729" spans="1:6">
      <c r="A729">
        <v>9960</v>
      </c>
      <c r="B729" t="s">
        <v>578</v>
      </c>
      <c r="C729">
        <v>21.45</v>
      </c>
      <c r="D729" t="e">
        <f>VLOOKUP(A729,收盤價!A:B,3,0)</f>
        <v>#REF!</v>
      </c>
      <c r="E729" s="85">
        <v>-8.6247086247086144E-2</v>
      </c>
      <c r="F729">
        <v>53.95</v>
      </c>
    </row>
    <row r="730" spans="1:6">
      <c r="A730">
        <v>5538</v>
      </c>
      <c r="B730" t="s">
        <v>1855</v>
      </c>
      <c r="C730">
        <v>30.1</v>
      </c>
      <c r="D730" t="e">
        <f>VLOOKUP(A730,收盤價!A:B,3,0)</f>
        <v>#REF!</v>
      </c>
      <c r="E730" s="85">
        <v>-8.6378737541528278E-2</v>
      </c>
      <c r="F730">
        <v>53.89</v>
      </c>
    </row>
    <row r="731" spans="1:6">
      <c r="A731">
        <v>1785</v>
      </c>
      <c r="B731" t="s">
        <v>2053</v>
      </c>
      <c r="C731">
        <v>23.1</v>
      </c>
      <c r="D731">
        <f>VLOOKUP(A731,收盤價!A:C,3,0)</f>
        <v>21.1</v>
      </c>
      <c r="E731" s="85">
        <v>-8.6580086580086577E-2</v>
      </c>
      <c r="F731">
        <v>53.82</v>
      </c>
    </row>
    <row r="732" spans="1:6">
      <c r="A732">
        <v>3299</v>
      </c>
      <c r="B732" t="s">
        <v>357</v>
      </c>
      <c r="C732">
        <v>55.4</v>
      </c>
      <c r="D732" t="e">
        <f>VLOOKUP(A732,收盤價!A:B,3,0)</f>
        <v>#REF!</v>
      </c>
      <c r="E732" s="85">
        <v>-8.6642599277978294E-2</v>
      </c>
      <c r="F732">
        <v>53.76</v>
      </c>
    </row>
    <row r="733" spans="1:6">
      <c r="A733">
        <v>1903</v>
      </c>
      <c r="B733" t="s">
        <v>1346</v>
      </c>
      <c r="C733">
        <v>33.950000000000003</v>
      </c>
      <c r="D733">
        <f>VLOOKUP(A733,收盤價!A:C,3,0)</f>
        <v>30.65</v>
      </c>
      <c r="E733" s="85">
        <v>-8.6892488954344704E-2</v>
      </c>
      <c r="F733">
        <v>53.7</v>
      </c>
    </row>
    <row r="734" spans="1:6">
      <c r="A734">
        <v>1476</v>
      </c>
      <c r="B734" t="s">
        <v>1248</v>
      </c>
      <c r="C734">
        <v>506</v>
      </c>
      <c r="D734">
        <f>VLOOKUP(A734,收盤價!A:C,3,0)</f>
        <v>489.5</v>
      </c>
      <c r="E734" s="85">
        <v>-8.6956521739130432E-2</v>
      </c>
      <c r="F734">
        <v>53.63</v>
      </c>
    </row>
    <row r="735" spans="1:6">
      <c r="A735">
        <v>6190</v>
      </c>
      <c r="B735" t="s">
        <v>509</v>
      </c>
      <c r="C735">
        <v>6.9</v>
      </c>
      <c r="D735" t="e">
        <f>VLOOKUP(A735,收盤價!A:B,3,0)</f>
        <v>#REF!</v>
      </c>
      <c r="E735" s="85">
        <v>-8.6956521739130502E-2</v>
      </c>
      <c r="F735">
        <v>53.57</v>
      </c>
    </row>
    <row r="736" spans="1:6">
      <c r="A736">
        <v>2423</v>
      </c>
      <c r="B736" t="s">
        <v>1482</v>
      </c>
      <c r="C736">
        <v>18.3</v>
      </c>
      <c r="D736" t="e">
        <f>VLOOKUP(A736,收盤價!A:B,3,0)</f>
        <v>#REF!</v>
      </c>
      <c r="E736" s="85">
        <v>-8.7431693989071108E-2</v>
      </c>
      <c r="F736">
        <v>53.51</v>
      </c>
    </row>
    <row r="737" spans="1:6">
      <c r="A737">
        <v>6196</v>
      </c>
      <c r="B737" t="s">
        <v>1893</v>
      </c>
      <c r="C737">
        <v>24</v>
      </c>
      <c r="D737" t="e">
        <f>VLOOKUP(A737,收盤價!A:B,3,0)</f>
        <v>#REF!</v>
      </c>
      <c r="E737" s="85">
        <v>-8.7500000000000064E-2</v>
      </c>
      <c r="F737">
        <v>53.44</v>
      </c>
    </row>
    <row r="738" spans="1:6">
      <c r="A738">
        <v>3294</v>
      </c>
      <c r="B738" t="s">
        <v>355</v>
      </c>
      <c r="C738">
        <v>19.3</v>
      </c>
      <c r="D738" t="e">
        <f>VLOOKUP(A738,收盤價!A:B,3,0)</f>
        <v>#REF!</v>
      </c>
      <c r="E738" s="85">
        <v>-8.8082901554404111E-2</v>
      </c>
      <c r="F738">
        <v>53.38</v>
      </c>
    </row>
    <row r="739" spans="1:6">
      <c r="A739">
        <v>5276</v>
      </c>
      <c r="B739" t="s">
        <v>2254</v>
      </c>
      <c r="C739">
        <v>23.15</v>
      </c>
      <c r="D739" t="e">
        <f>VLOOKUP(A739,收盤價!A:B,3,0)</f>
        <v>#REF!</v>
      </c>
      <c r="E739" s="85">
        <v>-8.8552915766738544E-2</v>
      </c>
      <c r="F739">
        <v>53.32</v>
      </c>
    </row>
    <row r="740" spans="1:6">
      <c r="A740">
        <v>2349</v>
      </c>
      <c r="B740" t="s">
        <v>1429</v>
      </c>
      <c r="C740">
        <v>3.27</v>
      </c>
      <c r="D740" t="e">
        <f>VLOOKUP(A740,收盤價!A:B,3,0)</f>
        <v>#REF!</v>
      </c>
      <c r="E740" s="85">
        <v>-8.8685015290519892E-2</v>
      </c>
      <c r="F740">
        <v>53.25</v>
      </c>
    </row>
    <row r="741" spans="1:6">
      <c r="A741">
        <v>3325</v>
      </c>
      <c r="B741" t="s">
        <v>2113</v>
      </c>
      <c r="C741">
        <v>16.3</v>
      </c>
      <c r="D741" t="e">
        <f>VLOOKUP(A741,收盤價!A:B,3,0)</f>
        <v>#REF!</v>
      </c>
      <c r="E741" s="85">
        <v>-8.8957055214723982E-2</v>
      </c>
      <c r="F741">
        <v>53.19</v>
      </c>
    </row>
    <row r="742" spans="1:6">
      <c r="A742">
        <v>1445</v>
      </c>
      <c r="B742" t="s">
        <v>1222</v>
      </c>
      <c r="C742">
        <v>10.9</v>
      </c>
      <c r="D742">
        <f>VLOOKUP(A742,收盤價!A:C,3,0)</f>
        <v>9.76</v>
      </c>
      <c r="E742" s="85">
        <v>-8.8990825688073455E-2</v>
      </c>
      <c r="F742">
        <v>53.13</v>
      </c>
    </row>
    <row r="743" spans="1:6">
      <c r="A743">
        <v>1441</v>
      </c>
      <c r="B743" t="s">
        <v>1218</v>
      </c>
      <c r="C743">
        <v>8.5399999999999991</v>
      </c>
      <c r="D743">
        <f>VLOOKUP(A743,收盤價!A:C,3,0)</f>
        <v>7.7</v>
      </c>
      <c r="E743" s="85">
        <v>-8.8992974238875755E-2</v>
      </c>
      <c r="F743">
        <v>53.06</v>
      </c>
    </row>
    <row r="744" spans="1:6">
      <c r="A744">
        <v>3652</v>
      </c>
      <c r="B744" t="s">
        <v>398</v>
      </c>
      <c r="C744">
        <v>19.100000000000001</v>
      </c>
      <c r="D744" t="e">
        <f>VLOOKUP(A744,收盤價!A:B,3,0)</f>
        <v>#REF!</v>
      </c>
      <c r="E744" s="85">
        <v>-8.9005235602094376E-2</v>
      </c>
      <c r="F744">
        <v>53</v>
      </c>
    </row>
    <row r="745" spans="1:6">
      <c r="A745">
        <v>2732</v>
      </c>
      <c r="B745" t="s">
        <v>2067</v>
      </c>
      <c r="C745">
        <v>98.4</v>
      </c>
      <c r="D745" t="e">
        <f>VLOOKUP(A745,收盤價!A:B,3,0)</f>
        <v>#REF!</v>
      </c>
      <c r="E745" s="85">
        <v>-8.9430894308943201E-2</v>
      </c>
      <c r="F745">
        <v>52.94</v>
      </c>
    </row>
    <row r="746" spans="1:6">
      <c r="A746">
        <v>1303</v>
      </c>
      <c r="B746" t="s">
        <v>1177</v>
      </c>
      <c r="C746">
        <v>72.400000000000006</v>
      </c>
      <c r="D746">
        <f>VLOOKUP(A746,收盤價!A:C,3,0)</f>
        <v>65.400000000000006</v>
      </c>
      <c r="E746" s="85">
        <v>-8.9779005524861871E-2</v>
      </c>
      <c r="F746">
        <v>52.87</v>
      </c>
    </row>
    <row r="747" spans="1:6">
      <c r="A747">
        <v>3388</v>
      </c>
      <c r="B747" t="s">
        <v>367</v>
      </c>
      <c r="C747">
        <v>69</v>
      </c>
      <c r="D747" t="e">
        <f>VLOOKUP(A747,收盤價!A:B,3,0)</f>
        <v>#REF!</v>
      </c>
      <c r="E747" s="85">
        <v>-8.9855072463768157E-2</v>
      </c>
      <c r="F747">
        <v>52.81</v>
      </c>
    </row>
    <row r="748" spans="1:6">
      <c r="A748">
        <v>6141</v>
      </c>
      <c r="B748" t="s">
        <v>1875</v>
      </c>
      <c r="C748">
        <v>9.8800000000000008</v>
      </c>
      <c r="D748" t="e">
        <f>VLOOKUP(A748,收盤價!A:B,3,0)</f>
        <v>#REF!</v>
      </c>
      <c r="E748" s="85">
        <v>-9.0080971659919074E-2</v>
      </c>
      <c r="F748">
        <v>52.75</v>
      </c>
    </row>
    <row r="749" spans="1:6">
      <c r="A749">
        <v>5469</v>
      </c>
      <c r="B749" t="s">
        <v>1844</v>
      </c>
      <c r="C749">
        <v>10.5</v>
      </c>
      <c r="D749" t="e">
        <f>VLOOKUP(A749,收盤價!A:B,3,0)</f>
        <v>#REF!</v>
      </c>
      <c r="E749" s="85">
        <v>-9.0476190476190405E-2</v>
      </c>
      <c r="F749">
        <v>52.68</v>
      </c>
    </row>
    <row r="750" spans="1:6">
      <c r="A750">
        <v>8087</v>
      </c>
      <c r="B750" t="s">
        <v>551</v>
      </c>
      <c r="C750">
        <v>8.73</v>
      </c>
      <c r="D750" t="e">
        <f>VLOOKUP(A750,收盤價!A:B,3,0)</f>
        <v>#REF!</v>
      </c>
      <c r="E750" s="85">
        <v>-9.0492554410080181E-2</v>
      </c>
      <c r="F750">
        <v>52.62</v>
      </c>
    </row>
    <row r="751" spans="1:6">
      <c r="A751">
        <v>1909</v>
      </c>
      <c r="B751" t="s">
        <v>1350</v>
      </c>
      <c r="C751">
        <v>12.7</v>
      </c>
      <c r="D751">
        <f>VLOOKUP(A751,收盤價!A:C,3,0)</f>
        <v>11.65</v>
      </c>
      <c r="E751" s="85">
        <v>-9.0551181102362099E-2</v>
      </c>
      <c r="F751">
        <v>52.56</v>
      </c>
    </row>
    <row r="752" spans="1:6">
      <c r="A752">
        <v>3058</v>
      </c>
      <c r="B752" t="s">
        <v>1699</v>
      </c>
      <c r="C752">
        <v>10.25</v>
      </c>
      <c r="D752" t="e">
        <f>VLOOKUP(A752,收盤價!A:B,3,0)</f>
        <v>#REF!</v>
      </c>
      <c r="E752" s="85">
        <v>-9.073170731707314E-2</v>
      </c>
      <c r="F752">
        <v>52.5</v>
      </c>
    </row>
    <row r="753" spans="1:6">
      <c r="A753">
        <v>2227</v>
      </c>
      <c r="B753" t="s">
        <v>1396</v>
      </c>
      <c r="C753">
        <v>313</v>
      </c>
      <c r="D753">
        <f>VLOOKUP(A753,收盤價!A:C,3,0)</f>
        <v>297</v>
      </c>
      <c r="E753" s="85">
        <v>-9.1054313099041537E-2</v>
      </c>
      <c r="F753">
        <v>52.43</v>
      </c>
    </row>
    <row r="754" spans="1:6">
      <c r="A754">
        <v>6285</v>
      </c>
      <c r="B754" t="s">
        <v>1920</v>
      </c>
      <c r="C754">
        <v>87.6</v>
      </c>
      <c r="D754" t="e">
        <f>VLOOKUP(A754,收盤價!A:B,3,0)</f>
        <v>#REF!</v>
      </c>
      <c r="E754" s="85">
        <v>-9.1324200913242018E-2</v>
      </c>
      <c r="F754">
        <v>52.37</v>
      </c>
    </row>
    <row r="755" spans="1:6">
      <c r="A755">
        <v>6278</v>
      </c>
      <c r="B755" t="s">
        <v>1916</v>
      </c>
      <c r="C755">
        <v>36.1</v>
      </c>
      <c r="D755" t="e">
        <f>VLOOKUP(A755,收盤價!A:B,3,0)</f>
        <v>#REF!</v>
      </c>
      <c r="E755" s="85">
        <v>-9.1412742382271581E-2</v>
      </c>
      <c r="F755">
        <v>52.31</v>
      </c>
    </row>
    <row r="756" spans="1:6">
      <c r="A756">
        <v>2427</v>
      </c>
      <c r="B756" t="s">
        <v>1486</v>
      </c>
      <c r="C756">
        <v>7.11</v>
      </c>
      <c r="D756" t="e">
        <f>VLOOKUP(A756,收盤價!A:B,3,0)</f>
        <v>#REF!</v>
      </c>
      <c r="E756" s="85">
        <v>-9.1420534458509187E-2</v>
      </c>
      <c r="F756">
        <v>52.24</v>
      </c>
    </row>
    <row r="757" spans="1:6">
      <c r="A757">
        <v>3541</v>
      </c>
      <c r="B757" t="s">
        <v>2139</v>
      </c>
      <c r="C757">
        <v>94</v>
      </c>
      <c r="D757" t="e">
        <f>VLOOKUP(A757,收盤價!A:B,3,0)</f>
        <v>#REF!</v>
      </c>
      <c r="E757" s="85">
        <v>-9.1489361702127597E-2</v>
      </c>
      <c r="F757">
        <v>52.18</v>
      </c>
    </row>
    <row r="758" spans="1:6">
      <c r="A758">
        <v>3266</v>
      </c>
      <c r="B758" t="s">
        <v>1714</v>
      </c>
      <c r="C758">
        <v>14.75</v>
      </c>
      <c r="D758" t="e">
        <f>VLOOKUP(A758,收盤價!A:B,3,0)</f>
        <v>#REF!</v>
      </c>
      <c r="E758" s="85">
        <v>-9.1525423728813532E-2</v>
      </c>
      <c r="F758">
        <v>52.12</v>
      </c>
    </row>
    <row r="759" spans="1:6">
      <c r="A759">
        <v>2328</v>
      </c>
      <c r="B759" t="s">
        <v>1416</v>
      </c>
      <c r="C759">
        <v>14.75</v>
      </c>
      <c r="D759">
        <f>VLOOKUP(A759,收盤價!A:C,3,0)</f>
        <v>13.3</v>
      </c>
      <c r="E759" s="85">
        <v>-9.1525423728813532E-2</v>
      </c>
      <c r="F759">
        <v>52.05</v>
      </c>
    </row>
    <row r="760" spans="1:6">
      <c r="A760">
        <v>3042</v>
      </c>
      <c r="B760" t="s">
        <v>1684</v>
      </c>
      <c r="C760">
        <v>39.85</v>
      </c>
      <c r="D760" t="e">
        <f>VLOOKUP(A760,收盤價!A:B,3,0)</f>
        <v>#REF!</v>
      </c>
      <c r="E760" s="85">
        <v>-9.1593475533249646E-2</v>
      </c>
      <c r="F760">
        <v>51.99</v>
      </c>
    </row>
    <row r="761" spans="1:6">
      <c r="A761">
        <v>2841</v>
      </c>
      <c r="B761" t="s">
        <v>1612</v>
      </c>
      <c r="C761">
        <v>12</v>
      </c>
      <c r="D761" t="e">
        <f>VLOOKUP(A761,收盤價!A:B,3,0)</f>
        <v>#REF!</v>
      </c>
      <c r="E761" s="85">
        <v>-9.1666666666666632E-2</v>
      </c>
      <c r="F761">
        <v>51.93</v>
      </c>
    </row>
    <row r="762" spans="1:6">
      <c r="A762">
        <v>2312</v>
      </c>
      <c r="B762" t="s">
        <v>1406</v>
      </c>
      <c r="C762">
        <v>11.45</v>
      </c>
      <c r="D762">
        <f>VLOOKUP(A762,收盤價!A:C,3,0)</f>
        <v>10.55</v>
      </c>
      <c r="E762" s="85">
        <v>-9.170305676855886E-2</v>
      </c>
      <c r="F762">
        <v>51.86</v>
      </c>
    </row>
    <row r="763" spans="1:6">
      <c r="A763">
        <v>3428</v>
      </c>
      <c r="B763" t="s">
        <v>368</v>
      </c>
      <c r="C763">
        <v>53.4</v>
      </c>
      <c r="D763" t="e">
        <f>VLOOKUP(A763,收盤價!A:B,3,0)</f>
        <v>#REF!</v>
      </c>
      <c r="E763" s="85">
        <v>-9.1760299625468139E-2</v>
      </c>
      <c r="F763">
        <v>51.8</v>
      </c>
    </row>
    <row r="764" spans="1:6">
      <c r="A764">
        <v>9938</v>
      </c>
      <c r="B764" t="s">
        <v>2029</v>
      </c>
      <c r="C764">
        <v>87</v>
      </c>
      <c r="D764" t="e">
        <f>VLOOKUP(A764,收盤價!A:B,3,0)</f>
        <v>#REF!</v>
      </c>
      <c r="E764" s="85">
        <v>-9.1954022988505746E-2</v>
      </c>
      <c r="F764">
        <v>51.74</v>
      </c>
    </row>
    <row r="765" spans="1:6">
      <c r="A765">
        <v>6170</v>
      </c>
      <c r="B765" t="s">
        <v>503</v>
      </c>
      <c r="C765">
        <v>10</v>
      </c>
      <c r="D765" t="e">
        <f>VLOOKUP(A765,收盤價!A:B,3,0)</f>
        <v>#REF!</v>
      </c>
      <c r="E765" s="85">
        <v>-9.1999999999999998E-2</v>
      </c>
      <c r="F765">
        <v>51.67</v>
      </c>
    </row>
    <row r="766" spans="1:6">
      <c r="A766">
        <v>2062</v>
      </c>
      <c r="B766" t="s">
        <v>1379</v>
      </c>
      <c r="C766">
        <v>50</v>
      </c>
      <c r="D766">
        <f>VLOOKUP(A766,收盤價!A:C,3,0)</f>
        <v>44.85</v>
      </c>
      <c r="E766" s="85">
        <v>-9.2000000000000026E-2</v>
      </c>
      <c r="F766">
        <v>51.61</v>
      </c>
    </row>
    <row r="767" spans="1:6">
      <c r="A767">
        <v>2311</v>
      </c>
      <c r="B767" t="s">
        <v>1405</v>
      </c>
      <c r="C767">
        <v>41.8</v>
      </c>
      <c r="D767">
        <f>VLOOKUP(A767,收盤價!A:C,3,0)</f>
        <v>37.700000000000003</v>
      </c>
      <c r="E767" s="85">
        <v>-9.2105263157894607E-2</v>
      </c>
      <c r="F767">
        <v>51.55</v>
      </c>
    </row>
    <row r="768" spans="1:6">
      <c r="A768">
        <v>2547</v>
      </c>
      <c r="B768" t="s">
        <v>1569</v>
      </c>
      <c r="C768">
        <v>13.55</v>
      </c>
      <c r="D768" t="e">
        <f>VLOOKUP(A768,收盤價!A:B,3,0)</f>
        <v>#REF!</v>
      </c>
      <c r="E768" s="85">
        <v>-9.2250922509225092E-2</v>
      </c>
      <c r="F768">
        <v>51.48</v>
      </c>
    </row>
    <row r="769" spans="1:6">
      <c r="A769">
        <v>8277</v>
      </c>
      <c r="B769" t="s">
        <v>2421</v>
      </c>
      <c r="C769">
        <v>7.84</v>
      </c>
      <c r="D769" t="e">
        <f>VLOOKUP(A769,收盤價!A:B,3,0)</f>
        <v>#REF!</v>
      </c>
      <c r="E769" s="85">
        <v>-9.3112244897959121E-2</v>
      </c>
      <c r="F769">
        <v>51.42</v>
      </c>
    </row>
    <row r="770" spans="1:6">
      <c r="A770">
        <v>2536</v>
      </c>
      <c r="B770" t="s">
        <v>1560</v>
      </c>
      <c r="C770">
        <v>24.1</v>
      </c>
      <c r="D770" t="e">
        <f>VLOOKUP(A770,收盤價!A:B,3,0)</f>
        <v>#REF!</v>
      </c>
      <c r="E770" s="85">
        <v>-9.3360995850622408E-2</v>
      </c>
      <c r="F770">
        <v>51.36</v>
      </c>
    </row>
    <row r="771" spans="1:6">
      <c r="A771">
        <v>8099</v>
      </c>
      <c r="B771" t="s">
        <v>2408</v>
      </c>
      <c r="C771">
        <v>19.8</v>
      </c>
      <c r="D771" t="e">
        <f>VLOOKUP(A771,收盤價!A:B,3,0)</f>
        <v>#REF!</v>
      </c>
      <c r="E771" s="85">
        <v>-9.3434343434343509E-2</v>
      </c>
      <c r="F771">
        <v>51.3</v>
      </c>
    </row>
    <row r="772" spans="1:6">
      <c r="A772">
        <v>1203</v>
      </c>
      <c r="B772" t="s">
        <v>1157</v>
      </c>
      <c r="C772">
        <v>23</v>
      </c>
      <c r="D772">
        <f>VLOOKUP(A772,收盤價!A:C,3,0)</f>
        <v>21.15</v>
      </c>
      <c r="E772" s="85">
        <v>-9.347826086956515E-2</v>
      </c>
      <c r="F772">
        <v>51.23</v>
      </c>
    </row>
    <row r="773" spans="1:6">
      <c r="A773">
        <v>3288</v>
      </c>
      <c r="B773" t="s">
        <v>2104</v>
      </c>
      <c r="C773">
        <v>9.16</v>
      </c>
      <c r="D773" t="e">
        <f>VLOOKUP(A773,收盤價!A:B,3,0)</f>
        <v>#REF!</v>
      </c>
      <c r="E773" s="85">
        <v>-9.3886462882096011E-2</v>
      </c>
      <c r="F773">
        <v>51.17</v>
      </c>
    </row>
    <row r="774" spans="1:6">
      <c r="A774">
        <v>5353</v>
      </c>
      <c r="B774" t="s">
        <v>2269</v>
      </c>
      <c r="C774">
        <v>10.75</v>
      </c>
      <c r="D774" t="e">
        <f>VLOOKUP(A774,收盤價!A:B,3,0)</f>
        <v>#REF!</v>
      </c>
      <c r="E774" s="85">
        <v>-9.3953488372092997E-2</v>
      </c>
      <c r="F774">
        <v>51.11</v>
      </c>
    </row>
    <row r="775" spans="1:6">
      <c r="A775">
        <v>6142</v>
      </c>
      <c r="B775" t="s">
        <v>1876</v>
      </c>
      <c r="C775">
        <v>4.9800000000000004</v>
      </c>
      <c r="D775" t="e">
        <f>VLOOKUP(A775,收盤價!A:B,3,0)</f>
        <v>#REF!</v>
      </c>
      <c r="E775" s="85">
        <v>-9.4377510040160761E-2</v>
      </c>
      <c r="F775">
        <v>51.04</v>
      </c>
    </row>
    <row r="776" spans="1:6">
      <c r="A776">
        <v>3044</v>
      </c>
      <c r="B776" t="s">
        <v>1686</v>
      </c>
      <c r="C776">
        <v>55</v>
      </c>
      <c r="D776" t="e">
        <f>VLOOKUP(A776,收盤價!A:B,3,0)</f>
        <v>#REF!</v>
      </c>
      <c r="E776" s="85">
        <v>-9.4545454545454599E-2</v>
      </c>
      <c r="F776">
        <v>50.98</v>
      </c>
    </row>
    <row r="777" spans="1:6">
      <c r="A777">
        <v>3522</v>
      </c>
      <c r="B777" t="s">
        <v>379</v>
      </c>
      <c r="C777">
        <v>11.1</v>
      </c>
      <c r="D777" t="e">
        <f>VLOOKUP(A777,收盤價!A:B,3,0)</f>
        <v>#REF!</v>
      </c>
      <c r="E777" s="85">
        <v>-9.4594594594594503E-2</v>
      </c>
      <c r="F777">
        <v>50.92</v>
      </c>
    </row>
    <row r="778" spans="1:6">
      <c r="A778">
        <v>1236</v>
      </c>
      <c r="B778" t="s">
        <v>1174</v>
      </c>
      <c r="C778">
        <v>24.75</v>
      </c>
      <c r="D778">
        <f>VLOOKUP(A778,收盤價!A:C,3,0)</f>
        <v>21.65</v>
      </c>
      <c r="E778" s="85">
        <v>-9.4949494949495006E-2</v>
      </c>
      <c r="F778">
        <v>50.85</v>
      </c>
    </row>
    <row r="779" spans="1:6">
      <c r="A779">
        <v>6136</v>
      </c>
      <c r="B779" t="s">
        <v>1873</v>
      </c>
      <c r="C779">
        <v>26.8</v>
      </c>
      <c r="D779" t="e">
        <f>VLOOKUP(A779,收盤價!A:B,3,0)</f>
        <v>#REF!</v>
      </c>
      <c r="E779" s="85">
        <v>-9.5149253731343308E-2</v>
      </c>
      <c r="F779">
        <v>50.79</v>
      </c>
    </row>
    <row r="780" spans="1:6">
      <c r="A780">
        <v>3466</v>
      </c>
      <c r="B780" t="s">
        <v>371</v>
      </c>
      <c r="C780">
        <v>29.35</v>
      </c>
      <c r="D780" t="e">
        <f>VLOOKUP(A780,收盤價!A:B,3,0)</f>
        <v>#REF!</v>
      </c>
      <c r="E780" s="85">
        <v>-9.5400340715502574E-2</v>
      </c>
      <c r="F780">
        <v>50.73</v>
      </c>
    </row>
    <row r="781" spans="1:6">
      <c r="A781">
        <v>6266</v>
      </c>
      <c r="B781" t="s">
        <v>2364</v>
      </c>
      <c r="C781">
        <v>14.65</v>
      </c>
      <c r="D781" t="e">
        <f>VLOOKUP(A781,收盤價!A:B,3,0)</f>
        <v>#REF!</v>
      </c>
      <c r="E781" s="85">
        <v>-9.5563139931740634E-2</v>
      </c>
      <c r="F781">
        <v>50.66</v>
      </c>
    </row>
    <row r="782" spans="1:6">
      <c r="A782">
        <v>3624</v>
      </c>
      <c r="B782" t="s">
        <v>394</v>
      </c>
      <c r="C782">
        <v>26.1</v>
      </c>
      <c r="D782" t="e">
        <f>VLOOKUP(A782,收盤價!A:B,3,0)</f>
        <v>#REF!</v>
      </c>
      <c r="E782" s="85">
        <v>-9.5785440613026809E-2</v>
      </c>
      <c r="F782">
        <v>50.6</v>
      </c>
    </row>
    <row r="783" spans="1:6">
      <c r="A783">
        <v>5471</v>
      </c>
      <c r="B783" t="s">
        <v>1845</v>
      </c>
      <c r="C783">
        <v>42.25</v>
      </c>
      <c r="D783" t="e">
        <f>VLOOKUP(A783,收盤價!A:B,3,0)</f>
        <v>#REF!</v>
      </c>
      <c r="E783" s="85">
        <v>-9.5857988165680405E-2</v>
      </c>
      <c r="F783">
        <v>50.54</v>
      </c>
    </row>
    <row r="784" spans="1:6">
      <c r="A784">
        <v>2317</v>
      </c>
      <c r="B784" t="s">
        <v>1410</v>
      </c>
      <c r="C784">
        <v>97</v>
      </c>
      <c r="D784">
        <f>VLOOKUP(A784,收盤價!A:C,3,0)</f>
        <v>86.6</v>
      </c>
      <c r="E784" s="85">
        <v>-9.5876288659793779E-2</v>
      </c>
      <c r="F784">
        <v>50.47</v>
      </c>
    </row>
    <row r="785" spans="1:6">
      <c r="A785">
        <v>3705</v>
      </c>
      <c r="B785" t="s">
        <v>1782</v>
      </c>
      <c r="C785">
        <v>52.1</v>
      </c>
      <c r="D785" t="e">
        <f>VLOOKUP(A785,收盤價!A:B,3,0)</f>
        <v>#REF!</v>
      </c>
      <c r="E785" s="85">
        <v>-9.5969289827255277E-2</v>
      </c>
      <c r="F785">
        <v>50.41</v>
      </c>
    </row>
    <row r="786" spans="1:6">
      <c r="A786">
        <v>2426</v>
      </c>
      <c r="B786" t="s">
        <v>1485</v>
      </c>
      <c r="C786">
        <v>15.1</v>
      </c>
      <c r="D786" t="e">
        <f>VLOOKUP(A786,收盤價!A:B,3,0)</f>
        <v>#REF!</v>
      </c>
      <c r="E786" s="85">
        <v>-9.6026490066225115E-2</v>
      </c>
      <c r="F786">
        <v>50.35</v>
      </c>
    </row>
    <row r="787" spans="1:6">
      <c r="A787">
        <v>2032</v>
      </c>
      <c r="B787" t="s">
        <v>1373</v>
      </c>
      <c r="C787">
        <v>10.1</v>
      </c>
      <c r="D787">
        <f>VLOOKUP(A787,收盤價!A:C,3,0)</f>
        <v>9.1199999999999992</v>
      </c>
      <c r="E787" s="85">
        <v>-9.6039603960395931E-2</v>
      </c>
      <c r="F787">
        <v>50.28</v>
      </c>
    </row>
    <row r="788" spans="1:6">
      <c r="A788">
        <v>6176</v>
      </c>
      <c r="B788" t="s">
        <v>1886</v>
      </c>
      <c r="C788">
        <v>114.5</v>
      </c>
      <c r="D788" t="e">
        <f>VLOOKUP(A788,收盤價!A:B,3,0)</f>
        <v>#REF!</v>
      </c>
      <c r="E788" s="85">
        <v>-9.606986899563319E-2</v>
      </c>
      <c r="F788">
        <v>50.22</v>
      </c>
    </row>
    <row r="789" spans="1:6">
      <c r="A789">
        <v>1507</v>
      </c>
      <c r="B789" t="s">
        <v>1253</v>
      </c>
      <c r="C789">
        <v>59.3</v>
      </c>
      <c r="D789">
        <f>VLOOKUP(A789,收盤價!A:C,3,0)</f>
        <v>54.3</v>
      </c>
      <c r="E789" s="85">
        <v>-9.6121416526138218E-2</v>
      </c>
      <c r="F789">
        <v>50.16</v>
      </c>
    </row>
    <row r="790" spans="1:6">
      <c r="A790">
        <v>9943</v>
      </c>
      <c r="B790" t="s">
        <v>2034</v>
      </c>
      <c r="C790">
        <v>58</v>
      </c>
      <c r="D790" t="e">
        <f>VLOOKUP(A790,收盤價!A:B,3,0)</f>
        <v>#REF!</v>
      </c>
      <c r="E790" s="85">
        <v>-9.6551724137931061E-2</v>
      </c>
      <c r="F790">
        <v>50.09</v>
      </c>
    </row>
    <row r="791" spans="1:6">
      <c r="A791">
        <v>2413</v>
      </c>
      <c r="B791" t="s">
        <v>1475</v>
      </c>
      <c r="C791">
        <v>13.4</v>
      </c>
      <c r="D791" t="e">
        <f>VLOOKUP(A791,收盤價!A:B,3,0)</f>
        <v>#REF!</v>
      </c>
      <c r="E791" s="85">
        <v>-9.7014925373134372E-2</v>
      </c>
      <c r="F791">
        <v>50.03</v>
      </c>
    </row>
    <row r="792" spans="1:6">
      <c r="A792">
        <v>1447</v>
      </c>
      <c r="B792" t="s">
        <v>1224</v>
      </c>
      <c r="C792">
        <v>10.1</v>
      </c>
      <c r="D792">
        <f>VLOOKUP(A792,收盤價!A:C,3,0)</f>
        <v>9.5399999999999991</v>
      </c>
      <c r="E792" s="85">
        <v>-9.7029702970297074E-2</v>
      </c>
      <c r="F792">
        <v>49.97</v>
      </c>
    </row>
    <row r="793" spans="1:6">
      <c r="A793">
        <v>2834</v>
      </c>
      <c r="B793" t="s">
        <v>1609</v>
      </c>
      <c r="C793">
        <v>9.51</v>
      </c>
      <c r="D793" t="e">
        <f>VLOOKUP(A793,收盤價!A:B,3,0)</f>
        <v>#REF!</v>
      </c>
      <c r="E793" s="85">
        <v>-9.7791798107255495E-2</v>
      </c>
      <c r="F793">
        <v>49.91</v>
      </c>
    </row>
    <row r="794" spans="1:6">
      <c r="A794">
        <v>2606</v>
      </c>
      <c r="B794" t="s">
        <v>1575</v>
      </c>
      <c r="C794">
        <v>41.9</v>
      </c>
      <c r="D794" t="e">
        <f>VLOOKUP(A794,收盤價!A:B,3,0)</f>
        <v>#REF!</v>
      </c>
      <c r="E794" s="85">
        <v>-9.7852028639618172E-2</v>
      </c>
      <c r="F794">
        <v>49.84</v>
      </c>
    </row>
    <row r="795" spans="1:6">
      <c r="A795">
        <v>2109</v>
      </c>
      <c r="B795" t="s">
        <v>1388</v>
      </c>
      <c r="C795">
        <v>14.8</v>
      </c>
      <c r="D795">
        <f>VLOOKUP(A795,收盤價!A:C,3,0)</f>
        <v>13.1</v>
      </c>
      <c r="E795" s="85">
        <v>-9.7972972972973041E-2</v>
      </c>
      <c r="F795">
        <v>49.78</v>
      </c>
    </row>
    <row r="796" spans="1:6">
      <c r="A796">
        <v>1409</v>
      </c>
      <c r="B796" t="s">
        <v>1201</v>
      </c>
      <c r="C796">
        <v>10</v>
      </c>
      <c r="D796">
        <f>VLOOKUP(A796,收盤價!A:C,3,0)</f>
        <v>9.1300000000000008</v>
      </c>
      <c r="E796" s="85">
        <v>-9.8000000000000045E-2</v>
      </c>
      <c r="F796">
        <v>49.72</v>
      </c>
    </row>
    <row r="797" spans="1:6">
      <c r="A797">
        <v>2607</v>
      </c>
      <c r="B797" t="s">
        <v>1576</v>
      </c>
      <c r="C797">
        <v>15.3</v>
      </c>
      <c r="D797" t="e">
        <f>VLOOKUP(A797,收盤價!A:B,3,0)</f>
        <v>#REF!</v>
      </c>
      <c r="E797" s="85">
        <v>-9.8039215686274508E-2</v>
      </c>
      <c r="F797">
        <v>49.65</v>
      </c>
    </row>
    <row r="798" spans="1:6">
      <c r="A798">
        <v>6191</v>
      </c>
      <c r="B798" t="s">
        <v>1891</v>
      </c>
      <c r="C798">
        <v>7.93</v>
      </c>
      <c r="D798" t="e">
        <f>VLOOKUP(A798,收盤價!A:B,3,0)</f>
        <v>#REF!</v>
      </c>
      <c r="E798" s="85">
        <v>-9.8360655737704847E-2</v>
      </c>
      <c r="F798">
        <v>49.59</v>
      </c>
    </row>
    <row r="799" spans="1:6">
      <c r="A799">
        <v>2325</v>
      </c>
      <c r="B799" t="s">
        <v>1414</v>
      </c>
      <c r="C799">
        <v>47.25</v>
      </c>
      <c r="D799">
        <f>VLOOKUP(A799,收盤價!A:C,3,0)</f>
        <v>41.9</v>
      </c>
      <c r="E799" s="85">
        <v>-9.8412698412698382E-2</v>
      </c>
      <c r="F799">
        <v>49.53</v>
      </c>
    </row>
    <row r="800" spans="1:6">
      <c r="A800">
        <v>3164</v>
      </c>
      <c r="B800" t="s">
        <v>1707</v>
      </c>
      <c r="C800">
        <v>26.4</v>
      </c>
      <c r="D800" t="e">
        <f>VLOOKUP(A800,收盤價!A:B,3,0)</f>
        <v>#REF!</v>
      </c>
      <c r="E800" s="85">
        <v>-9.8484848484848411E-2</v>
      </c>
      <c r="F800">
        <v>49.46</v>
      </c>
    </row>
    <row r="801" spans="1:6">
      <c r="A801">
        <v>2417</v>
      </c>
      <c r="B801" t="s">
        <v>1478</v>
      </c>
      <c r="C801">
        <v>10.75</v>
      </c>
      <c r="D801" t="e">
        <f>VLOOKUP(A801,收盤價!A:B,3,0)</f>
        <v>#REF!</v>
      </c>
      <c r="E801" s="85">
        <v>-9.8604651162790741E-2</v>
      </c>
      <c r="F801">
        <v>49.4</v>
      </c>
    </row>
    <row r="802" spans="1:6">
      <c r="A802">
        <v>2387</v>
      </c>
      <c r="B802" t="s">
        <v>1459</v>
      </c>
      <c r="C802">
        <v>15.7</v>
      </c>
      <c r="D802" t="e">
        <f>VLOOKUP(A802,收盤價!A:B,3,0)</f>
        <v>#REF!</v>
      </c>
      <c r="E802" s="85">
        <v>-9.8726114649681465E-2</v>
      </c>
      <c r="F802">
        <v>49.34</v>
      </c>
    </row>
    <row r="803" spans="1:6">
      <c r="A803">
        <v>5209</v>
      </c>
      <c r="B803" t="s">
        <v>2247</v>
      </c>
      <c r="C803">
        <v>49.05</v>
      </c>
      <c r="D803" t="e">
        <f>VLOOKUP(A803,收盤價!A:B,3,0)</f>
        <v>#REF!</v>
      </c>
      <c r="E803" s="85">
        <v>-9.887869520897033E-2</v>
      </c>
      <c r="F803">
        <v>49.27</v>
      </c>
    </row>
    <row r="804" spans="1:6">
      <c r="A804">
        <v>4130</v>
      </c>
      <c r="B804" t="s">
        <v>408</v>
      </c>
      <c r="C804">
        <v>45.95</v>
      </c>
      <c r="D804" t="e">
        <f>VLOOKUP(A804,收盤價!A:B,3,0)</f>
        <v>#REF!</v>
      </c>
      <c r="E804" s="85">
        <v>-9.902067464635482E-2</v>
      </c>
      <c r="F804">
        <v>49.21</v>
      </c>
    </row>
    <row r="805" spans="1:6">
      <c r="A805">
        <v>8358</v>
      </c>
      <c r="B805" t="s">
        <v>2428</v>
      </c>
      <c r="C805">
        <v>9.68</v>
      </c>
      <c r="D805" t="e">
        <f>VLOOKUP(A805,收盤價!A:B,3,0)</f>
        <v>#REF!</v>
      </c>
      <c r="E805" s="85">
        <v>-9.917355371900817E-2</v>
      </c>
      <c r="F805">
        <v>49.15</v>
      </c>
    </row>
    <row r="806" spans="1:6">
      <c r="A806">
        <v>6131</v>
      </c>
      <c r="B806" t="s">
        <v>1871</v>
      </c>
      <c r="C806">
        <v>26.2</v>
      </c>
      <c r="D806" t="e">
        <f>VLOOKUP(A806,收盤價!A:B,3,0)</f>
        <v>#REF!</v>
      </c>
      <c r="E806" s="85">
        <v>-9.9236641221373961E-2</v>
      </c>
      <c r="F806">
        <v>49.08</v>
      </c>
    </row>
    <row r="807" spans="1:6">
      <c r="A807">
        <v>2439</v>
      </c>
      <c r="B807" t="s">
        <v>1496</v>
      </c>
      <c r="C807">
        <v>71.5</v>
      </c>
      <c r="D807" t="e">
        <f>VLOOKUP(A807,收盤價!A:B,3,0)</f>
        <v>#REF!</v>
      </c>
      <c r="E807" s="85">
        <v>-9.9300699300699222E-2</v>
      </c>
      <c r="F807">
        <v>49.02</v>
      </c>
    </row>
    <row r="808" spans="1:6">
      <c r="A808">
        <v>1229</v>
      </c>
      <c r="B808" t="s">
        <v>1168</v>
      </c>
      <c r="C808">
        <v>21.65</v>
      </c>
      <c r="D808">
        <f>VLOOKUP(A808,收盤價!A:C,3,0)</f>
        <v>19.75</v>
      </c>
      <c r="E808" s="85">
        <v>-9.9307159353348676E-2</v>
      </c>
      <c r="F808">
        <v>48.96</v>
      </c>
    </row>
    <row r="809" spans="1:6">
      <c r="A809">
        <v>3707</v>
      </c>
      <c r="B809" t="s">
        <v>404</v>
      </c>
      <c r="C809">
        <v>9.5</v>
      </c>
      <c r="D809" t="e">
        <f>VLOOKUP(A809,收盤價!A:B,3,0)</f>
        <v>#REF!</v>
      </c>
      <c r="E809" s="85">
        <v>-9.9999999999999922E-2</v>
      </c>
      <c r="F809">
        <v>48.89</v>
      </c>
    </row>
    <row r="810" spans="1:6">
      <c r="A810">
        <v>2208</v>
      </c>
      <c r="B810" t="s">
        <v>1395</v>
      </c>
      <c r="C810">
        <v>14.95</v>
      </c>
      <c r="D810">
        <f>VLOOKUP(A810,收盤價!A:C,3,0)</f>
        <v>13.45</v>
      </c>
      <c r="E810" s="85">
        <v>-0.10033444816053512</v>
      </c>
      <c r="F810">
        <v>48.83</v>
      </c>
    </row>
    <row r="811" spans="1:6">
      <c r="A811">
        <v>3579</v>
      </c>
      <c r="B811" t="s">
        <v>1755</v>
      </c>
      <c r="C811">
        <v>13.4</v>
      </c>
      <c r="D811" t="e">
        <f>VLOOKUP(A811,收盤價!A:B,3,0)</f>
        <v>#REF!</v>
      </c>
      <c r="E811" s="85">
        <v>-0.10074626865671639</v>
      </c>
      <c r="F811">
        <v>48.77</v>
      </c>
    </row>
    <row r="812" spans="1:6">
      <c r="A812">
        <v>8287</v>
      </c>
      <c r="B812" t="s">
        <v>2422</v>
      </c>
      <c r="C812">
        <v>18.350000000000001</v>
      </c>
      <c r="D812" t="e">
        <f>VLOOKUP(A812,收盤價!A:B,3,0)</f>
        <v>#REF!</v>
      </c>
      <c r="E812" s="85">
        <v>-0.10081743869209817</v>
      </c>
      <c r="F812">
        <v>48.7</v>
      </c>
    </row>
    <row r="813" spans="1:6">
      <c r="A813">
        <v>3037</v>
      </c>
      <c r="B813" t="s">
        <v>1680</v>
      </c>
      <c r="C813">
        <v>15.85</v>
      </c>
      <c r="D813" t="e">
        <f>VLOOKUP(A813,收盤價!A:B,3,0)</f>
        <v>#REF!</v>
      </c>
      <c r="E813" s="85">
        <v>-0.10094637223974762</v>
      </c>
      <c r="F813">
        <v>48.64</v>
      </c>
    </row>
    <row r="814" spans="1:6">
      <c r="A814">
        <v>1439</v>
      </c>
      <c r="B814" t="s">
        <v>1216</v>
      </c>
      <c r="C814">
        <v>14.35</v>
      </c>
      <c r="D814">
        <f>VLOOKUP(A814,收盤價!A:C,3,0)</f>
        <v>13.15</v>
      </c>
      <c r="E814" s="85">
        <v>-0.10104529616724733</v>
      </c>
      <c r="F814">
        <v>48.58</v>
      </c>
    </row>
    <row r="815" spans="1:6">
      <c r="A815">
        <v>9926</v>
      </c>
      <c r="B815" t="s">
        <v>2019</v>
      </c>
      <c r="C815">
        <v>45</v>
      </c>
      <c r="D815" t="e">
        <f>VLOOKUP(A815,收盤價!A:B,3,0)</f>
        <v>#REF!</v>
      </c>
      <c r="E815" s="85">
        <v>-0.10111111111111105</v>
      </c>
      <c r="F815">
        <v>48.52</v>
      </c>
    </row>
    <row r="816" spans="1:6">
      <c r="A816">
        <v>1474</v>
      </c>
      <c r="B816" t="s">
        <v>1246</v>
      </c>
      <c r="C816">
        <v>11.35</v>
      </c>
      <c r="D816">
        <f>VLOOKUP(A816,收盤價!A:C,3,0)</f>
        <v>10</v>
      </c>
      <c r="E816" s="85">
        <v>-0.10132158590308374</v>
      </c>
      <c r="F816">
        <v>48.45</v>
      </c>
    </row>
    <row r="817" spans="1:6">
      <c r="A817">
        <v>2505</v>
      </c>
      <c r="B817" t="s">
        <v>1546</v>
      </c>
      <c r="C817">
        <v>13.8</v>
      </c>
      <c r="D817" t="e">
        <f>VLOOKUP(A817,收盤價!A:B,3,0)</f>
        <v>#REF!</v>
      </c>
      <c r="E817" s="85">
        <v>-0.10144927536231886</v>
      </c>
      <c r="F817">
        <v>48.39</v>
      </c>
    </row>
    <row r="818" spans="1:6">
      <c r="A818">
        <v>8079</v>
      </c>
      <c r="B818" t="s">
        <v>2400</v>
      </c>
      <c r="C818">
        <v>13.8</v>
      </c>
      <c r="D818" t="e">
        <f>VLOOKUP(A818,收盤價!A:B,3,0)</f>
        <v>#REF!</v>
      </c>
      <c r="E818" s="85">
        <v>-0.10144927536231886</v>
      </c>
      <c r="F818">
        <v>48.33</v>
      </c>
    </row>
    <row r="819" spans="1:6">
      <c r="A819">
        <v>2340</v>
      </c>
      <c r="B819" t="s">
        <v>1423</v>
      </c>
      <c r="C819">
        <v>11.8</v>
      </c>
      <c r="D819">
        <f>VLOOKUP(A819,收盤價!A:C,3,0)</f>
        <v>10.5</v>
      </c>
      <c r="E819" s="85">
        <v>-0.10169491525423738</v>
      </c>
      <c r="F819">
        <v>48.26</v>
      </c>
    </row>
    <row r="820" spans="1:6">
      <c r="A820">
        <v>5203</v>
      </c>
      <c r="B820" t="s">
        <v>1831</v>
      </c>
      <c r="C820">
        <v>81.599999999999994</v>
      </c>
      <c r="D820" t="e">
        <f>VLOOKUP(A820,收盤價!A:B,3,0)</f>
        <v>#REF!</v>
      </c>
      <c r="E820" s="85">
        <v>-0.10171568627450978</v>
      </c>
      <c r="F820">
        <v>48.2</v>
      </c>
    </row>
    <row r="821" spans="1:6">
      <c r="A821">
        <v>2030</v>
      </c>
      <c r="B821" t="s">
        <v>1371</v>
      </c>
      <c r="C821">
        <v>11.3</v>
      </c>
      <c r="D821">
        <f>VLOOKUP(A821,收盤價!A:C,3,0)</f>
        <v>10.15</v>
      </c>
      <c r="E821" s="85">
        <v>-0.1017699115044248</v>
      </c>
      <c r="F821">
        <v>48.14</v>
      </c>
    </row>
    <row r="822" spans="1:6">
      <c r="A822">
        <v>5212</v>
      </c>
      <c r="B822" t="s">
        <v>2248</v>
      </c>
      <c r="C822">
        <v>20.6</v>
      </c>
      <c r="D822" t="e">
        <f>VLOOKUP(A822,收盤價!A:B,3,0)</f>
        <v>#REF!</v>
      </c>
      <c r="E822" s="85">
        <v>-0.1019417475728156</v>
      </c>
      <c r="F822">
        <v>48.07</v>
      </c>
    </row>
    <row r="823" spans="1:6">
      <c r="A823">
        <v>9919</v>
      </c>
      <c r="B823" t="s">
        <v>2015</v>
      </c>
      <c r="C823">
        <v>13.2</v>
      </c>
      <c r="D823" t="e">
        <f>VLOOKUP(A823,收盤價!A:B,3,0)</f>
        <v>#REF!</v>
      </c>
      <c r="E823" s="85">
        <v>-0.10227272727272725</v>
      </c>
      <c r="F823">
        <v>48.01</v>
      </c>
    </row>
    <row r="824" spans="1:6">
      <c r="A824">
        <v>4976</v>
      </c>
      <c r="B824" t="s">
        <v>1825</v>
      </c>
      <c r="C824">
        <v>18.5</v>
      </c>
      <c r="D824" t="e">
        <f>VLOOKUP(A824,收盤價!A:B,3,0)</f>
        <v>#REF!</v>
      </c>
      <c r="E824" s="85">
        <v>-0.10270270270270263</v>
      </c>
      <c r="F824">
        <v>47.95</v>
      </c>
    </row>
    <row r="825" spans="1:6">
      <c r="A825">
        <v>2338</v>
      </c>
      <c r="B825" t="s">
        <v>1422</v>
      </c>
      <c r="C825">
        <v>9.1300000000000008</v>
      </c>
      <c r="D825">
        <f>VLOOKUP(A825,收盤價!A:C,3,0)</f>
        <v>8.1300000000000008</v>
      </c>
      <c r="E825" s="85">
        <v>-0.10295728368017537</v>
      </c>
      <c r="F825">
        <v>47.88</v>
      </c>
    </row>
    <row r="826" spans="1:6">
      <c r="A826">
        <v>4938</v>
      </c>
      <c r="B826" t="s">
        <v>1819</v>
      </c>
      <c r="C826">
        <v>90.3</v>
      </c>
      <c r="D826" t="e">
        <f>VLOOKUP(A826,收盤價!A:B,3,0)</f>
        <v>#REF!</v>
      </c>
      <c r="E826" s="85">
        <v>-0.10299003322259133</v>
      </c>
      <c r="F826">
        <v>47.82</v>
      </c>
    </row>
    <row r="827" spans="1:6">
      <c r="A827">
        <v>3356</v>
      </c>
      <c r="B827" t="s">
        <v>1722</v>
      </c>
      <c r="C827">
        <v>93.1</v>
      </c>
      <c r="D827" t="e">
        <f>VLOOKUP(A827,收盤價!A:B,3,0)</f>
        <v>#REF!</v>
      </c>
      <c r="E827" s="85">
        <v>-0.1031149301825993</v>
      </c>
      <c r="F827">
        <v>47.76</v>
      </c>
    </row>
    <row r="828" spans="1:6">
      <c r="A828">
        <v>1336</v>
      </c>
      <c r="B828" t="s">
        <v>305</v>
      </c>
      <c r="C828">
        <v>9.5</v>
      </c>
      <c r="D828">
        <f>VLOOKUP(A828,收盤價!A:C,3,0)</f>
        <v>8.5500000000000007</v>
      </c>
      <c r="E828" s="85">
        <v>-0.10315789473684216</v>
      </c>
      <c r="F828">
        <v>47.69</v>
      </c>
    </row>
    <row r="829" spans="1:6">
      <c r="A829">
        <v>6422</v>
      </c>
      <c r="B829" t="s">
        <v>1928</v>
      </c>
      <c r="C829">
        <v>55.6</v>
      </c>
      <c r="D829" t="e">
        <f>VLOOKUP(A829,收盤價!A:B,3,0)</f>
        <v>#REF!</v>
      </c>
      <c r="E829" s="85">
        <v>-0.10341726618705036</v>
      </c>
      <c r="F829">
        <v>47.63</v>
      </c>
    </row>
    <row r="830" spans="1:6">
      <c r="A830">
        <v>4947</v>
      </c>
      <c r="B830" t="s">
        <v>2232</v>
      </c>
      <c r="C830">
        <v>183.5</v>
      </c>
      <c r="D830" t="e">
        <f>VLOOKUP(A830,收盤價!A:B,3,0)</f>
        <v>#REF!</v>
      </c>
      <c r="E830" s="85">
        <v>-0.10354223433242507</v>
      </c>
      <c r="F830">
        <v>47.57</v>
      </c>
    </row>
    <row r="831" spans="1:6">
      <c r="A831">
        <v>2530</v>
      </c>
      <c r="B831" t="s">
        <v>1557</v>
      </c>
      <c r="C831">
        <v>18.8</v>
      </c>
      <c r="D831" t="e">
        <f>VLOOKUP(A831,收盤價!A:B,3,0)</f>
        <v>#REF!</v>
      </c>
      <c r="E831" s="85">
        <v>-0.1037234042553191</v>
      </c>
      <c r="F831">
        <v>47.5</v>
      </c>
    </row>
    <row r="832" spans="1:6">
      <c r="A832">
        <v>1103</v>
      </c>
      <c r="B832" t="s">
        <v>1152</v>
      </c>
      <c r="C832">
        <v>12.05</v>
      </c>
      <c r="D832">
        <f>VLOOKUP(A832,收盤價!A:C,3,0)</f>
        <v>10.75</v>
      </c>
      <c r="E832" s="85">
        <v>-0.10373443983402489</v>
      </c>
      <c r="F832">
        <v>47.44</v>
      </c>
    </row>
    <row r="833" spans="1:6">
      <c r="A833">
        <v>2880</v>
      </c>
      <c r="B833" t="s">
        <v>1622</v>
      </c>
      <c r="C833">
        <v>17.75</v>
      </c>
      <c r="D833" t="e">
        <f>VLOOKUP(A833,收盤價!A:B,3,0)</f>
        <v>#REF!</v>
      </c>
      <c r="E833" s="85">
        <v>-0.10422535211267604</v>
      </c>
      <c r="F833">
        <v>47.38</v>
      </c>
    </row>
    <row r="834" spans="1:6">
      <c r="A834">
        <v>4952</v>
      </c>
      <c r="B834" t="s">
        <v>1821</v>
      </c>
      <c r="C834">
        <v>36.9</v>
      </c>
      <c r="D834" t="e">
        <f>VLOOKUP(A834,收盤價!A:B,3,0)</f>
        <v>#REF!</v>
      </c>
      <c r="E834" s="85">
        <v>-0.10433604336043364</v>
      </c>
      <c r="F834">
        <v>47.32</v>
      </c>
    </row>
    <row r="835" spans="1:6">
      <c r="A835">
        <v>1264</v>
      </c>
      <c r="B835" t="s">
        <v>303</v>
      </c>
      <c r="C835">
        <v>210</v>
      </c>
      <c r="D835">
        <f>VLOOKUP(A835,收盤價!A:C,3,0)</f>
        <v>192</v>
      </c>
      <c r="E835" s="85">
        <v>-0.10476190476190476</v>
      </c>
      <c r="F835">
        <v>47.25</v>
      </c>
    </row>
    <row r="836" spans="1:6">
      <c r="A836">
        <v>3380</v>
      </c>
      <c r="B836" t="s">
        <v>1724</v>
      </c>
      <c r="C836">
        <v>19.05</v>
      </c>
      <c r="D836" t="e">
        <f>VLOOKUP(A836,收盤價!A:B,3,0)</f>
        <v>#REF!</v>
      </c>
      <c r="E836" s="85">
        <v>-0.10498687664041995</v>
      </c>
      <c r="F836">
        <v>47.19</v>
      </c>
    </row>
    <row r="837" spans="1:6">
      <c r="A837">
        <v>5266</v>
      </c>
      <c r="B837" t="s">
        <v>2252</v>
      </c>
      <c r="C837">
        <v>60</v>
      </c>
      <c r="D837" t="e">
        <f>VLOOKUP(A837,收盤價!A:B,3,0)</f>
        <v>#REF!</v>
      </c>
      <c r="E837" s="85">
        <v>-0.10499999999999995</v>
      </c>
      <c r="F837">
        <v>47.13</v>
      </c>
    </row>
    <row r="838" spans="1:6">
      <c r="A838">
        <v>3611</v>
      </c>
      <c r="B838" t="s">
        <v>392</v>
      </c>
      <c r="C838">
        <v>271</v>
      </c>
      <c r="D838" t="e">
        <f>VLOOKUP(A838,收盤價!A:B,3,0)</f>
        <v>#REF!</v>
      </c>
      <c r="E838" s="85">
        <v>-0.10516605166051661</v>
      </c>
      <c r="F838">
        <v>47.06</v>
      </c>
    </row>
    <row r="839" spans="1:6">
      <c r="A839">
        <v>5880</v>
      </c>
      <c r="B839" t="s">
        <v>1860</v>
      </c>
      <c r="C839">
        <v>16.149999999999999</v>
      </c>
      <c r="D839" t="e">
        <f>VLOOKUP(A839,收盤價!A:B,3,0)</f>
        <v>#REF!</v>
      </c>
      <c r="E839" s="85">
        <v>-0.10526315789473681</v>
      </c>
      <c r="F839">
        <v>47</v>
      </c>
    </row>
    <row r="840" spans="1:6">
      <c r="A840">
        <v>6506</v>
      </c>
      <c r="B840" t="s">
        <v>2379</v>
      </c>
      <c r="C840">
        <v>24.95</v>
      </c>
      <c r="D840" t="e">
        <f>VLOOKUP(A840,收盤價!A:B,3,0)</f>
        <v>#REF!</v>
      </c>
      <c r="E840" s="85">
        <v>-0.10621242484969934</v>
      </c>
      <c r="F840">
        <v>46.94</v>
      </c>
    </row>
    <row r="841" spans="1:6">
      <c r="A841">
        <v>2610</v>
      </c>
      <c r="B841" t="s">
        <v>1579</v>
      </c>
      <c r="C841">
        <v>13.15</v>
      </c>
      <c r="D841" t="e">
        <f>VLOOKUP(A841,收盤價!A:B,3,0)</f>
        <v>#REF!</v>
      </c>
      <c r="E841" s="85">
        <v>-0.10646387832699622</v>
      </c>
      <c r="F841">
        <v>46.87</v>
      </c>
    </row>
    <row r="842" spans="1:6">
      <c r="A842">
        <v>3576</v>
      </c>
      <c r="B842" t="s">
        <v>1754</v>
      </c>
      <c r="C842">
        <v>23.95</v>
      </c>
      <c r="D842" t="e">
        <f>VLOOKUP(A842,收盤價!A:B,3,0)</f>
        <v>#REF!</v>
      </c>
      <c r="E842" s="85">
        <v>-0.10647181628392488</v>
      </c>
      <c r="F842">
        <v>46.81</v>
      </c>
    </row>
    <row r="843" spans="1:6">
      <c r="A843">
        <v>1558</v>
      </c>
      <c r="B843" t="s">
        <v>1280</v>
      </c>
      <c r="C843">
        <v>159.5</v>
      </c>
      <c r="D843">
        <f>VLOOKUP(A843,收盤價!A:C,3,0)</f>
        <v>144.5</v>
      </c>
      <c r="E843" s="85">
        <v>-0.10658307210031348</v>
      </c>
      <c r="F843">
        <v>46.75</v>
      </c>
    </row>
    <row r="844" spans="1:6">
      <c r="A844">
        <v>8289</v>
      </c>
      <c r="B844" t="s">
        <v>2423</v>
      </c>
      <c r="C844">
        <v>12.15</v>
      </c>
      <c r="D844" t="e">
        <f>VLOOKUP(A844,收盤價!A:B,3,0)</f>
        <v>#REF!</v>
      </c>
      <c r="E844" s="85">
        <v>-0.10699588477366261</v>
      </c>
      <c r="F844">
        <v>46.68</v>
      </c>
    </row>
    <row r="845" spans="1:6">
      <c r="A845">
        <v>6292</v>
      </c>
      <c r="B845" t="s">
        <v>2371</v>
      </c>
      <c r="C845">
        <v>32.700000000000003</v>
      </c>
      <c r="D845" t="e">
        <f>VLOOKUP(A845,收盤價!A:B,3,0)</f>
        <v>#REF!</v>
      </c>
      <c r="E845" s="85">
        <v>-0.10703363914373099</v>
      </c>
      <c r="F845">
        <v>46.62</v>
      </c>
    </row>
    <row r="846" spans="1:6">
      <c r="A846">
        <v>2316</v>
      </c>
      <c r="B846" t="s">
        <v>1409</v>
      </c>
      <c r="C846">
        <v>28.9</v>
      </c>
      <c r="D846">
        <f>VLOOKUP(A846,收盤價!A:C,3,0)</f>
        <v>26.45</v>
      </c>
      <c r="E846" s="85">
        <v>-0.10726643598615911</v>
      </c>
      <c r="F846">
        <v>46.56</v>
      </c>
    </row>
    <row r="847" spans="1:6">
      <c r="A847">
        <v>6173</v>
      </c>
      <c r="B847" t="s">
        <v>2339</v>
      </c>
      <c r="C847">
        <v>10.6</v>
      </c>
      <c r="D847" t="e">
        <f>VLOOKUP(A847,收盤價!A:B,3,0)</f>
        <v>#REF!</v>
      </c>
      <c r="E847" s="85">
        <v>-0.10754716981132065</v>
      </c>
      <c r="F847">
        <v>46.49</v>
      </c>
    </row>
    <row r="848" spans="1:6">
      <c r="A848">
        <v>3010</v>
      </c>
      <c r="B848" t="s">
        <v>1656</v>
      </c>
      <c r="C848">
        <v>53</v>
      </c>
      <c r="D848" t="e">
        <f>VLOOKUP(A848,收盤價!A:B,3,0)</f>
        <v>#REF!</v>
      </c>
      <c r="E848" s="85">
        <v>-0.10754716981132081</v>
      </c>
      <c r="F848">
        <v>46.43</v>
      </c>
    </row>
    <row r="849" spans="1:6">
      <c r="A849">
        <v>1435</v>
      </c>
      <c r="B849" t="s">
        <v>1212</v>
      </c>
      <c r="C849">
        <v>5.67</v>
      </c>
      <c r="D849">
        <f>VLOOKUP(A849,收盤價!A:C,3,0)</f>
        <v>5.03</v>
      </c>
      <c r="E849" s="85">
        <v>-0.10758377425044098</v>
      </c>
      <c r="F849">
        <v>46.37</v>
      </c>
    </row>
    <row r="850" spans="1:6">
      <c r="A850">
        <v>1723</v>
      </c>
      <c r="B850" t="s">
        <v>1319</v>
      </c>
      <c r="C850">
        <v>139</v>
      </c>
      <c r="D850">
        <f>VLOOKUP(A850,收盤價!A:C,3,0)</f>
        <v>126</v>
      </c>
      <c r="E850" s="85">
        <v>-0.1079136690647482</v>
      </c>
      <c r="F850">
        <v>46.3</v>
      </c>
    </row>
    <row r="851" spans="1:6">
      <c r="A851">
        <v>2024</v>
      </c>
      <c r="B851" t="s">
        <v>1366</v>
      </c>
      <c r="C851">
        <v>8.4</v>
      </c>
      <c r="D851">
        <f>VLOOKUP(A851,收盤價!A:C,3,0)</f>
        <v>7.45</v>
      </c>
      <c r="E851" s="85">
        <v>-0.10833333333333335</v>
      </c>
      <c r="F851">
        <v>46.24</v>
      </c>
    </row>
    <row r="852" spans="1:6">
      <c r="A852">
        <v>2352</v>
      </c>
      <c r="B852" t="s">
        <v>1431</v>
      </c>
      <c r="C852">
        <v>12</v>
      </c>
      <c r="D852" t="e">
        <f>VLOOKUP(A852,收盤價!A:B,3,0)</f>
        <v>#REF!</v>
      </c>
      <c r="E852" s="85">
        <v>-0.10833333333333339</v>
      </c>
      <c r="F852">
        <v>46.18</v>
      </c>
    </row>
    <row r="853" spans="1:6">
      <c r="A853">
        <v>4933</v>
      </c>
      <c r="B853" t="s">
        <v>437</v>
      </c>
      <c r="C853">
        <v>29.5</v>
      </c>
      <c r="D853" t="e">
        <f>VLOOKUP(A853,收盤價!A:B,3,0)</f>
        <v>#REF!</v>
      </c>
      <c r="E853" s="85">
        <v>-0.10847457627118641</v>
      </c>
      <c r="F853">
        <v>46.11</v>
      </c>
    </row>
    <row r="854" spans="1:6">
      <c r="A854">
        <v>1590</v>
      </c>
      <c r="B854" t="s">
        <v>1286</v>
      </c>
      <c r="C854">
        <v>193.5</v>
      </c>
      <c r="D854">
        <f>VLOOKUP(A854,收盤價!A:C,3,0)</f>
        <v>169</v>
      </c>
      <c r="E854" s="85">
        <v>-0.10852713178294573</v>
      </c>
      <c r="F854">
        <v>46.05</v>
      </c>
    </row>
    <row r="855" spans="1:6">
      <c r="A855">
        <v>2855</v>
      </c>
      <c r="B855" t="s">
        <v>1619</v>
      </c>
      <c r="C855">
        <v>15.65</v>
      </c>
      <c r="D855" t="e">
        <f>VLOOKUP(A855,收盤價!A:B,3,0)</f>
        <v>#REF!</v>
      </c>
      <c r="E855" s="85">
        <v>-0.10862619808306716</v>
      </c>
      <c r="F855">
        <v>45.99</v>
      </c>
    </row>
    <row r="856" spans="1:6">
      <c r="A856">
        <v>3702</v>
      </c>
      <c r="B856" t="s">
        <v>1779</v>
      </c>
      <c r="C856">
        <v>38.65</v>
      </c>
      <c r="D856" t="e">
        <f>VLOOKUP(A856,收盤價!A:B,3,0)</f>
        <v>#REF!</v>
      </c>
      <c r="E856" s="85">
        <v>-0.10866752910737376</v>
      </c>
      <c r="F856">
        <v>45.93</v>
      </c>
    </row>
    <row r="857" spans="1:6">
      <c r="A857">
        <v>2852</v>
      </c>
      <c r="B857" t="s">
        <v>1618</v>
      </c>
      <c r="C857">
        <v>14.7</v>
      </c>
      <c r="D857" t="e">
        <f>VLOOKUP(A857,收盤價!A:B,3,0)</f>
        <v>#REF!</v>
      </c>
      <c r="E857" s="85">
        <v>-0.10884353741496597</v>
      </c>
      <c r="F857">
        <v>45.86</v>
      </c>
    </row>
    <row r="858" spans="1:6">
      <c r="A858">
        <v>2613</v>
      </c>
      <c r="B858" t="s">
        <v>1582</v>
      </c>
      <c r="C858">
        <v>15.6</v>
      </c>
      <c r="D858" t="e">
        <f>VLOOKUP(A858,收盤價!A:B,3,0)</f>
        <v>#REF!</v>
      </c>
      <c r="E858" s="85">
        <v>-0.10897435897435893</v>
      </c>
      <c r="F858">
        <v>45.8</v>
      </c>
    </row>
    <row r="859" spans="1:6">
      <c r="A859">
        <v>3226</v>
      </c>
      <c r="B859" t="s">
        <v>342</v>
      </c>
      <c r="C859">
        <v>56.8</v>
      </c>
      <c r="D859" t="e">
        <f>VLOOKUP(A859,收盤價!A:B,3,0)</f>
        <v>#REF!</v>
      </c>
      <c r="E859" s="85">
        <v>-0.10915492957746471</v>
      </c>
      <c r="F859">
        <v>45.74</v>
      </c>
    </row>
    <row r="860" spans="1:6">
      <c r="A860">
        <v>2480</v>
      </c>
      <c r="B860" t="s">
        <v>1527</v>
      </c>
      <c r="C860">
        <v>28.4</v>
      </c>
      <c r="D860" t="e">
        <f>VLOOKUP(A860,收盤價!A:B,3,0)</f>
        <v>#REF!</v>
      </c>
      <c r="E860" s="85">
        <v>-0.10915492957746471</v>
      </c>
      <c r="F860">
        <v>45.67</v>
      </c>
    </row>
    <row r="861" spans="1:6">
      <c r="A861">
        <v>5215</v>
      </c>
      <c r="B861" t="s">
        <v>1832</v>
      </c>
      <c r="C861">
        <v>43.5</v>
      </c>
      <c r="D861" t="e">
        <f>VLOOKUP(A861,收盤價!A:B,3,0)</f>
        <v>#REF!</v>
      </c>
      <c r="E861" s="85">
        <v>-0.10919540229885058</v>
      </c>
      <c r="F861">
        <v>45.61</v>
      </c>
    </row>
    <row r="862" spans="1:6">
      <c r="A862">
        <v>2064</v>
      </c>
      <c r="B862" t="s">
        <v>317</v>
      </c>
      <c r="C862">
        <v>19.2</v>
      </c>
      <c r="D862">
        <f>VLOOKUP(A862,收盤價!A:C,3,0)</f>
        <v>16.899999999999999</v>
      </c>
      <c r="E862" s="85">
        <v>-0.10937499999999989</v>
      </c>
      <c r="F862">
        <v>45.55</v>
      </c>
    </row>
    <row r="863" spans="1:6">
      <c r="A863">
        <v>3686</v>
      </c>
      <c r="B863" t="s">
        <v>1775</v>
      </c>
      <c r="C863">
        <v>8.67</v>
      </c>
      <c r="D863" t="e">
        <f>VLOOKUP(A863,收盤價!A:B,3,0)</f>
        <v>#REF!</v>
      </c>
      <c r="E863" s="85">
        <v>-0.10957324106113035</v>
      </c>
      <c r="F863">
        <v>45.48</v>
      </c>
    </row>
    <row r="864" spans="1:6">
      <c r="A864">
        <v>2034</v>
      </c>
      <c r="B864" t="s">
        <v>1375</v>
      </c>
      <c r="C864">
        <v>23.25</v>
      </c>
      <c r="D864">
        <f>VLOOKUP(A864,收盤價!A:C,3,0)</f>
        <v>19.399999999999999</v>
      </c>
      <c r="E864" s="85">
        <v>-0.10967741935483874</v>
      </c>
      <c r="F864">
        <v>45.42</v>
      </c>
    </row>
    <row r="865" spans="1:6">
      <c r="A865">
        <v>2392</v>
      </c>
      <c r="B865" t="s">
        <v>1462</v>
      </c>
      <c r="C865">
        <v>53.3</v>
      </c>
      <c r="D865" t="e">
        <f>VLOOKUP(A865,收盤價!A:B,3,0)</f>
        <v>#REF!</v>
      </c>
      <c r="E865" s="85">
        <v>-0.10975609756097551</v>
      </c>
      <c r="F865">
        <v>45.36</v>
      </c>
    </row>
    <row r="866" spans="1:6">
      <c r="A866">
        <v>2023</v>
      </c>
      <c r="B866" t="s">
        <v>1365</v>
      </c>
      <c r="C866">
        <v>8.7200000000000006</v>
      </c>
      <c r="D866">
        <f>VLOOKUP(A866,收盤價!A:C,3,0)</f>
        <v>7.79</v>
      </c>
      <c r="E866" s="85">
        <v>-0.11009174311926614</v>
      </c>
      <c r="F866">
        <v>45.29</v>
      </c>
    </row>
    <row r="867" spans="1:6">
      <c r="A867">
        <v>6161</v>
      </c>
      <c r="B867" t="s">
        <v>501</v>
      </c>
      <c r="C867">
        <v>7.81</v>
      </c>
      <c r="D867" t="e">
        <f>VLOOKUP(A867,收盤價!A:B,3,0)</f>
        <v>#REF!</v>
      </c>
      <c r="E867" s="85">
        <v>-0.11011523687580019</v>
      </c>
      <c r="F867">
        <v>45.23</v>
      </c>
    </row>
    <row r="868" spans="1:6">
      <c r="A868">
        <v>4303</v>
      </c>
      <c r="B868" t="s">
        <v>2191</v>
      </c>
      <c r="C868">
        <v>14.5</v>
      </c>
      <c r="D868" t="e">
        <f>VLOOKUP(A868,收盤價!A:B,3,0)</f>
        <v>#REF!</v>
      </c>
      <c r="E868" s="85">
        <v>-0.11034482758620687</v>
      </c>
      <c r="F868">
        <v>45.17</v>
      </c>
    </row>
    <row r="869" spans="1:6">
      <c r="A869">
        <v>3531</v>
      </c>
      <c r="B869" t="s">
        <v>2137</v>
      </c>
      <c r="C869">
        <v>18.100000000000001</v>
      </c>
      <c r="D869" t="e">
        <f>VLOOKUP(A869,收盤價!A:B,3,0)</f>
        <v>#REF!</v>
      </c>
      <c r="E869" s="85">
        <v>-0.11049723756906077</v>
      </c>
      <c r="F869">
        <v>45.1</v>
      </c>
    </row>
    <row r="870" spans="1:6">
      <c r="A870">
        <v>1446</v>
      </c>
      <c r="B870" t="s">
        <v>1223</v>
      </c>
      <c r="C870">
        <v>23.5</v>
      </c>
      <c r="D870">
        <f>VLOOKUP(A870,收盤價!A:C,3,0)</f>
        <v>20.55</v>
      </c>
      <c r="E870" s="85">
        <v>-0.11063829787234049</v>
      </c>
      <c r="F870">
        <v>45.04</v>
      </c>
    </row>
    <row r="871" spans="1:6">
      <c r="A871">
        <v>4973</v>
      </c>
      <c r="B871" t="s">
        <v>2237</v>
      </c>
      <c r="C871">
        <v>19.399999999999999</v>
      </c>
      <c r="D871" t="e">
        <f>VLOOKUP(A871,收盤價!A:B,3,0)</f>
        <v>#REF!</v>
      </c>
      <c r="E871" s="85">
        <v>-0.11082474226804118</v>
      </c>
      <c r="F871">
        <v>44.98</v>
      </c>
    </row>
    <row r="872" spans="1:6">
      <c r="A872">
        <v>1316</v>
      </c>
      <c r="B872" t="s">
        <v>1189</v>
      </c>
      <c r="C872">
        <v>11.25</v>
      </c>
      <c r="D872">
        <f>VLOOKUP(A872,收盤價!A:C,3,0)</f>
        <v>10.050000000000001</v>
      </c>
      <c r="E872" s="85">
        <v>-0.1111111111111111</v>
      </c>
      <c r="F872">
        <v>44.91</v>
      </c>
    </row>
    <row r="873" spans="1:6">
      <c r="A873">
        <v>5480</v>
      </c>
      <c r="B873" t="s">
        <v>2284</v>
      </c>
      <c r="C873">
        <v>13.5</v>
      </c>
      <c r="D873" t="e">
        <f>VLOOKUP(A873,收盤價!A:B,3,0)</f>
        <v>#REF!</v>
      </c>
      <c r="E873" s="85">
        <v>-0.1111111111111111</v>
      </c>
      <c r="F873">
        <v>44.85</v>
      </c>
    </row>
    <row r="874" spans="1:6">
      <c r="A874">
        <v>8024</v>
      </c>
      <c r="B874" t="s">
        <v>541</v>
      </c>
      <c r="C874">
        <v>12.6</v>
      </c>
      <c r="D874" t="e">
        <f>VLOOKUP(A874,收盤價!A:B,3,0)</f>
        <v>#REF!</v>
      </c>
      <c r="E874" s="85">
        <v>-0.11111111111111115</v>
      </c>
      <c r="F874">
        <v>44.79</v>
      </c>
    </row>
    <row r="875" spans="1:6">
      <c r="A875">
        <v>8996</v>
      </c>
      <c r="B875" t="s">
        <v>1978</v>
      </c>
      <c r="C875">
        <v>48.15</v>
      </c>
      <c r="D875" t="e">
        <f>VLOOKUP(A875,收盤價!A:B,3,0)</f>
        <v>#REF!</v>
      </c>
      <c r="E875" s="85">
        <v>-0.11111111111111115</v>
      </c>
      <c r="F875">
        <v>44.73</v>
      </c>
    </row>
    <row r="876" spans="1:6">
      <c r="A876">
        <v>6508</v>
      </c>
      <c r="B876" t="s">
        <v>537</v>
      </c>
      <c r="C876">
        <v>31</v>
      </c>
      <c r="D876" t="e">
        <f>VLOOKUP(A876,收盤價!A:B,3,0)</f>
        <v>#REF!</v>
      </c>
      <c r="E876" s="85">
        <v>-0.11129032258064514</v>
      </c>
      <c r="F876">
        <v>44.66</v>
      </c>
    </row>
    <row r="877" spans="1:6">
      <c r="A877">
        <v>4991</v>
      </c>
      <c r="B877" t="s">
        <v>2239</v>
      </c>
      <c r="C877">
        <v>84.4</v>
      </c>
      <c r="D877" t="e">
        <f>VLOOKUP(A877,收盤價!A:B,3,0)</f>
        <v>#REF!</v>
      </c>
      <c r="E877" s="85">
        <v>-0.11137440758293844</v>
      </c>
      <c r="F877">
        <v>44.6</v>
      </c>
    </row>
    <row r="878" spans="1:6">
      <c r="A878">
        <v>3005</v>
      </c>
      <c r="B878" t="s">
        <v>1653</v>
      </c>
      <c r="C878">
        <v>24.15</v>
      </c>
      <c r="D878" t="e">
        <f>VLOOKUP(A878,收盤價!A:B,3,0)</f>
        <v>#REF!</v>
      </c>
      <c r="E878" s="85">
        <v>-0.11180124223602482</v>
      </c>
      <c r="F878">
        <v>44.54</v>
      </c>
    </row>
    <row r="879" spans="1:6">
      <c r="A879">
        <v>5007</v>
      </c>
      <c r="B879" t="s">
        <v>1830</v>
      </c>
      <c r="C879">
        <v>73.3</v>
      </c>
      <c r="D879" t="e">
        <f>VLOOKUP(A879,收盤價!A:B,3,0)</f>
        <v>#REF!</v>
      </c>
      <c r="E879" s="85">
        <v>-0.11186903137789909</v>
      </c>
      <c r="F879">
        <v>44.47</v>
      </c>
    </row>
    <row r="880" spans="1:6">
      <c r="A880">
        <v>3141</v>
      </c>
      <c r="B880" t="s">
        <v>334</v>
      </c>
      <c r="C880">
        <v>23.15</v>
      </c>
      <c r="D880" t="e">
        <f>VLOOKUP(A880,收盤價!A:B,3,0)</f>
        <v>#REF!</v>
      </c>
      <c r="E880" s="85">
        <v>-0.11231101511879041</v>
      </c>
      <c r="F880">
        <v>44.41</v>
      </c>
    </row>
    <row r="881" spans="1:6">
      <c r="A881">
        <v>3629</v>
      </c>
      <c r="B881" t="s">
        <v>2152</v>
      </c>
      <c r="C881">
        <v>10.5</v>
      </c>
      <c r="D881" t="e">
        <f>VLOOKUP(A881,收盤價!A:B,3,0)</f>
        <v>#REF!</v>
      </c>
      <c r="E881" s="85">
        <v>-0.11238095238095236</v>
      </c>
      <c r="F881">
        <v>44.35</v>
      </c>
    </row>
    <row r="882" spans="1:6">
      <c r="A882">
        <v>3264</v>
      </c>
      <c r="B882" t="s">
        <v>2101</v>
      </c>
      <c r="C882">
        <v>26.25</v>
      </c>
      <c r="D882" t="e">
        <f>VLOOKUP(A882,收盤價!A:B,3,0)</f>
        <v>#REF!</v>
      </c>
      <c r="E882" s="85">
        <v>-0.11238095238095236</v>
      </c>
      <c r="F882">
        <v>44.28</v>
      </c>
    </row>
    <row r="883" spans="1:6">
      <c r="A883">
        <v>8255</v>
      </c>
      <c r="B883" t="s">
        <v>2419</v>
      </c>
      <c r="C883">
        <v>115.5</v>
      </c>
      <c r="D883" t="e">
        <f>VLOOKUP(A883,收盤價!A:B,3,0)</f>
        <v>#REF!</v>
      </c>
      <c r="E883" s="85">
        <v>-0.11255411255411256</v>
      </c>
      <c r="F883">
        <v>44.22</v>
      </c>
    </row>
    <row r="884" spans="1:6">
      <c r="A884">
        <v>6163</v>
      </c>
      <c r="B884" t="s">
        <v>502</v>
      </c>
      <c r="C884">
        <v>13.25</v>
      </c>
      <c r="D884" t="e">
        <f>VLOOKUP(A884,收盤價!A:B,3,0)</f>
        <v>#REF!</v>
      </c>
      <c r="E884" s="85">
        <v>-0.11320754716981132</v>
      </c>
      <c r="F884">
        <v>44.16</v>
      </c>
    </row>
    <row r="885" spans="1:6">
      <c r="A885">
        <v>2022</v>
      </c>
      <c r="B885" t="s">
        <v>1364</v>
      </c>
      <c r="C885">
        <v>4.74</v>
      </c>
      <c r="D885">
        <f>VLOOKUP(A885,收盤價!A:C,3,0)</f>
        <v>4.1900000000000004</v>
      </c>
      <c r="E885" s="85">
        <v>-0.11392405063291139</v>
      </c>
      <c r="F885">
        <v>44.09</v>
      </c>
    </row>
    <row r="886" spans="1:6">
      <c r="A886">
        <v>4609</v>
      </c>
      <c r="B886" t="s">
        <v>2215</v>
      </c>
      <c r="C886">
        <v>9.94</v>
      </c>
      <c r="D886" t="e">
        <f>VLOOKUP(A886,收盤價!A:B,3,0)</f>
        <v>#REF!</v>
      </c>
      <c r="E886" s="85">
        <v>-0.11468812877263571</v>
      </c>
      <c r="F886">
        <v>44.03</v>
      </c>
    </row>
    <row r="887" spans="1:6">
      <c r="A887">
        <v>2546</v>
      </c>
      <c r="B887" t="s">
        <v>1568</v>
      </c>
      <c r="C887">
        <v>17</v>
      </c>
      <c r="D887" t="e">
        <f>VLOOKUP(A887,收盤價!A:B,3,0)</f>
        <v>#REF!</v>
      </c>
      <c r="E887" s="85">
        <v>-0.11470588235294113</v>
      </c>
      <c r="F887">
        <v>43.97</v>
      </c>
    </row>
    <row r="888" spans="1:6">
      <c r="A888">
        <v>5820</v>
      </c>
      <c r="B888" t="s">
        <v>2304</v>
      </c>
      <c r="C888">
        <v>8.4499999999999993</v>
      </c>
      <c r="D888" t="e">
        <f>VLOOKUP(A888,收盤價!A:B,3,0)</f>
        <v>#REF!</v>
      </c>
      <c r="E888" s="85">
        <v>-0.1147928994082839</v>
      </c>
      <c r="F888">
        <v>43.9</v>
      </c>
    </row>
    <row r="889" spans="1:6">
      <c r="A889">
        <v>2009</v>
      </c>
      <c r="B889" t="s">
        <v>1356</v>
      </c>
      <c r="C889">
        <v>8.6999999999999993</v>
      </c>
      <c r="D889">
        <f>VLOOKUP(A889,收盤價!A:C,3,0)</f>
        <v>7.5</v>
      </c>
      <c r="E889" s="85">
        <v>-0.11494252873563209</v>
      </c>
      <c r="F889">
        <v>43.84</v>
      </c>
    </row>
    <row r="890" spans="1:6">
      <c r="A890">
        <v>9902</v>
      </c>
      <c r="B890" t="s">
        <v>2003</v>
      </c>
      <c r="C890">
        <v>12.6</v>
      </c>
      <c r="D890" t="e">
        <f>VLOOKUP(A890,收盤價!A:B,3,0)</f>
        <v>#REF!</v>
      </c>
      <c r="E890" s="85">
        <v>-0.11507936507936503</v>
      </c>
      <c r="F890">
        <v>43.78</v>
      </c>
    </row>
    <row r="891" spans="1:6">
      <c r="A891">
        <v>2486</v>
      </c>
      <c r="B891" t="s">
        <v>1533</v>
      </c>
      <c r="C891">
        <v>13</v>
      </c>
      <c r="D891" t="e">
        <f>VLOOKUP(A891,收盤價!A:B,3,0)</f>
        <v>#REF!</v>
      </c>
      <c r="E891" s="85">
        <v>-0.11538461538461539</v>
      </c>
      <c r="F891">
        <v>43.71</v>
      </c>
    </row>
    <row r="892" spans="1:6">
      <c r="A892">
        <v>2207</v>
      </c>
      <c r="B892" t="s">
        <v>1394</v>
      </c>
      <c r="C892">
        <v>437</v>
      </c>
      <c r="D892">
        <f>VLOOKUP(A892,收盤價!A:C,3,0)</f>
        <v>399.5</v>
      </c>
      <c r="E892" s="85">
        <v>-0.11556064073226545</v>
      </c>
      <c r="F892">
        <v>43.65</v>
      </c>
    </row>
    <row r="893" spans="1:6">
      <c r="A893">
        <v>2049</v>
      </c>
      <c r="B893" t="s">
        <v>1377</v>
      </c>
      <c r="C893">
        <v>203</v>
      </c>
      <c r="D893">
        <f>VLOOKUP(A893,收盤價!A:C,3,0)</f>
        <v>179</v>
      </c>
      <c r="E893" s="85">
        <v>-0.11576354679802955</v>
      </c>
      <c r="F893">
        <v>43.59</v>
      </c>
    </row>
    <row r="894" spans="1:6">
      <c r="A894">
        <v>1323</v>
      </c>
      <c r="B894" t="s">
        <v>1192</v>
      </c>
      <c r="C894">
        <v>29.75</v>
      </c>
      <c r="D894">
        <f>VLOOKUP(A894,收盤價!A:C,3,0)</f>
        <v>26.65</v>
      </c>
      <c r="E894" s="85">
        <v>-0.11596638655462183</v>
      </c>
      <c r="F894">
        <v>43.52</v>
      </c>
    </row>
    <row r="895" spans="1:6">
      <c r="A895">
        <v>1616</v>
      </c>
      <c r="B895" t="s">
        <v>1298</v>
      </c>
      <c r="C895">
        <v>5.64</v>
      </c>
      <c r="D895">
        <f>VLOOKUP(A895,收盤價!A:C,3,0)</f>
        <v>4.92</v>
      </c>
      <c r="E895" s="85">
        <v>-0.11702127659574456</v>
      </c>
      <c r="F895">
        <v>43.46</v>
      </c>
    </row>
    <row r="896" spans="1:6">
      <c r="A896">
        <v>8176</v>
      </c>
      <c r="B896" t="s">
        <v>2415</v>
      </c>
      <c r="C896">
        <v>8.1999999999999993</v>
      </c>
      <c r="D896" t="e">
        <f>VLOOKUP(A896,收盤價!A:B,3,0)</f>
        <v>#REF!</v>
      </c>
      <c r="E896" s="85">
        <v>-0.11707317073170721</v>
      </c>
      <c r="F896">
        <v>43.4</v>
      </c>
    </row>
    <row r="897" spans="1:6">
      <c r="A897">
        <v>4737</v>
      </c>
      <c r="B897" t="s">
        <v>1806</v>
      </c>
      <c r="C897">
        <v>60.6</v>
      </c>
      <c r="D897" t="e">
        <f>VLOOKUP(A897,收盤價!A:B,3,0)</f>
        <v>#REF!</v>
      </c>
      <c r="E897" s="85">
        <v>-0.11716171617161718</v>
      </c>
      <c r="F897">
        <v>43.34</v>
      </c>
    </row>
    <row r="898" spans="1:6">
      <c r="A898">
        <v>2337</v>
      </c>
      <c r="B898" t="s">
        <v>1421</v>
      </c>
      <c r="C898">
        <v>5.97</v>
      </c>
      <c r="D898">
        <f>VLOOKUP(A898,收盤價!A:C,3,0)</f>
        <v>4.8899999999999997</v>
      </c>
      <c r="E898" s="85">
        <v>-0.11725293132328311</v>
      </c>
      <c r="F898">
        <v>43.27</v>
      </c>
    </row>
    <row r="899" spans="1:6">
      <c r="A899">
        <v>2702</v>
      </c>
      <c r="B899" t="s">
        <v>1592</v>
      </c>
      <c r="C899">
        <v>16.2</v>
      </c>
      <c r="D899" t="e">
        <f>VLOOKUP(A899,收盤價!A:B,3,0)</f>
        <v>#REF!</v>
      </c>
      <c r="E899" s="85">
        <v>-0.11728395061728387</v>
      </c>
      <c r="F899">
        <v>43.21</v>
      </c>
    </row>
    <row r="900" spans="1:6">
      <c r="A900">
        <v>6127</v>
      </c>
      <c r="B900" t="s">
        <v>2325</v>
      </c>
      <c r="C900">
        <v>12.3</v>
      </c>
      <c r="D900" t="e">
        <f>VLOOKUP(A900,收盤價!A:B,3,0)</f>
        <v>#REF!</v>
      </c>
      <c r="E900" s="85">
        <v>-0.1178861788617887</v>
      </c>
      <c r="F900">
        <v>43.15</v>
      </c>
    </row>
    <row r="901" spans="1:6">
      <c r="A901">
        <v>6172</v>
      </c>
      <c r="B901" t="s">
        <v>1885</v>
      </c>
      <c r="C901">
        <v>5.75</v>
      </c>
      <c r="D901" t="e">
        <f>VLOOKUP(A901,收盤價!A:B,3,0)</f>
        <v>#REF!</v>
      </c>
      <c r="E901" s="85">
        <v>-0.11826086956521734</v>
      </c>
      <c r="F901">
        <v>43.08</v>
      </c>
    </row>
    <row r="902" spans="1:6">
      <c r="A902">
        <v>2379</v>
      </c>
      <c r="B902" t="s">
        <v>1454</v>
      </c>
      <c r="C902">
        <v>79.099999999999994</v>
      </c>
      <c r="D902" t="e">
        <f>VLOOKUP(A902,收盤價!A:B,3,0)</f>
        <v>#REF!</v>
      </c>
      <c r="E902" s="85">
        <v>-0.11883691529709219</v>
      </c>
      <c r="F902">
        <v>43.02</v>
      </c>
    </row>
    <row r="903" spans="1:6">
      <c r="A903">
        <v>2324</v>
      </c>
      <c r="B903" t="s">
        <v>1413</v>
      </c>
      <c r="C903">
        <v>23.5</v>
      </c>
      <c r="D903">
        <f>VLOOKUP(A903,收盤價!A:C,3,0)</f>
        <v>20.399999999999999</v>
      </c>
      <c r="E903" s="85">
        <v>-0.1191489361702128</v>
      </c>
      <c r="F903">
        <v>42.96</v>
      </c>
    </row>
    <row r="904" spans="1:6">
      <c r="A904">
        <v>3114</v>
      </c>
      <c r="B904" t="s">
        <v>2079</v>
      </c>
      <c r="C904">
        <v>14.2</v>
      </c>
      <c r="D904" t="e">
        <f>VLOOKUP(A904,收盤價!A:B,3,0)</f>
        <v>#REF!</v>
      </c>
      <c r="E904" s="85">
        <v>-0.11971830985915488</v>
      </c>
      <c r="F904">
        <v>42.89</v>
      </c>
    </row>
    <row r="905" spans="1:6">
      <c r="A905">
        <v>2105</v>
      </c>
      <c r="B905" t="s">
        <v>1384</v>
      </c>
      <c r="C905">
        <v>68.3</v>
      </c>
      <c r="D905">
        <f>VLOOKUP(A905,收盤價!A:C,3,0)</f>
        <v>59.7</v>
      </c>
      <c r="E905" s="85">
        <v>-0.12005856515373348</v>
      </c>
      <c r="F905">
        <v>42.83</v>
      </c>
    </row>
    <row r="906" spans="1:6">
      <c r="A906">
        <v>1444</v>
      </c>
      <c r="B906" t="s">
        <v>1221</v>
      </c>
      <c r="C906">
        <v>10.15</v>
      </c>
      <c r="D906">
        <f>VLOOKUP(A906,收盤價!A:C,3,0)</f>
        <v>9.92</v>
      </c>
      <c r="E906" s="85">
        <v>-0.12019704433497543</v>
      </c>
      <c r="F906">
        <v>42.77</v>
      </c>
    </row>
    <row r="907" spans="1:6">
      <c r="A907">
        <v>6122</v>
      </c>
      <c r="B907" t="s">
        <v>2321</v>
      </c>
      <c r="C907">
        <v>8.07</v>
      </c>
      <c r="D907" t="e">
        <f>VLOOKUP(A907,收盤價!A:B,3,0)</f>
        <v>#REF!</v>
      </c>
      <c r="E907" s="85">
        <v>-0.1201982651796779</v>
      </c>
      <c r="F907">
        <v>42.7</v>
      </c>
    </row>
    <row r="908" spans="1:6">
      <c r="A908">
        <v>6281</v>
      </c>
      <c r="B908" t="s">
        <v>1917</v>
      </c>
      <c r="C908">
        <v>63.2</v>
      </c>
      <c r="D908" t="e">
        <f>VLOOKUP(A908,收盤價!A:B,3,0)</f>
        <v>#REF!</v>
      </c>
      <c r="E908" s="85">
        <v>-0.12025316455696204</v>
      </c>
      <c r="F908">
        <v>42.64</v>
      </c>
    </row>
    <row r="909" spans="1:6">
      <c r="A909">
        <v>1569</v>
      </c>
      <c r="B909" t="s">
        <v>307</v>
      </c>
      <c r="C909">
        <v>13.3</v>
      </c>
      <c r="D909">
        <f>VLOOKUP(A909,收盤價!A:C,3,0)</f>
        <v>11.7</v>
      </c>
      <c r="E909" s="85">
        <v>-0.12030075187969935</v>
      </c>
      <c r="F909">
        <v>42.58</v>
      </c>
    </row>
    <row r="910" spans="1:6">
      <c r="A910">
        <v>5434</v>
      </c>
      <c r="B910" t="s">
        <v>1843</v>
      </c>
      <c r="C910">
        <v>58</v>
      </c>
      <c r="D910" t="e">
        <f>VLOOKUP(A910,收盤價!A:B,3,0)</f>
        <v>#REF!</v>
      </c>
      <c r="E910" s="85">
        <v>-0.1206896551724138</v>
      </c>
      <c r="F910">
        <v>42.51</v>
      </c>
    </row>
    <row r="911" spans="1:6">
      <c r="A911">
        <v>6264</v>
      </c>
      <c r="B911" t="s">
        <v>530</v>
      </c>
      <c r="C911">
        <v>7.28</v>
      </c>
      <c r="D911" t="e">
        <f>VLOOKUP(A911,收盤價!A:B,3,0)</f>
        <v>#REF!</v>
      </c>
      <c r="E911" s="85">
        <v>-0.12087912087912087</v>
      </c>
      <c r="F911">
        <v>42.45</v>
      </c>
    </row>
    <row r="912" spans="1:6">
      <c r="A912">
        <v>2459</v>
      </c>
      <c r="B912" t="s">
        <v>1512</v>
      </c>
      <c r="C912">
        <v>38.4</v>
      </c>
      <c r="D912" t="e">
        <f>VLOOKUP(A912,收盤價!A:B,3,0)</f>
        <v>#REF!</v>
      </c>
      <c r="E912" s="85">
        <v>-0.12109374999999997</v>
      </c>
      <c r="F912">
        <v>42.39</v>
      </c>
    </row>
    <row r="913" spans="1:6">
      <c r="A913">
        <v>4927</v>
      </c>
      <c r="B913" t="s">
        <v>2465</v>
      </c>
      <c r="C913">
        <v>47</v>
      </c>
      <c r="D913" t="e">
        <f>VLOOKUP(A913,收盤價!A:B,3,0)</f>
        <v>#REF!</v>
      </c>
      <c r="E913" s="85">
        <v>-0.12127659574468092</v>
      </c>
      <c r="F913">
        <v>42.32</v>
      </c>
    </row>
    <row r="914" spans="1:6">
      <c r="A914">
        <v>3383</v>
      </c>
      <c r="B914" t="s">
        <v>1725</v>
      </c>
      <c r="C914">
        <v>10.45</v>
      </c>
      <c r="D914" t="e">
        <f>VLOOKUP(A914,收盤價!A:B,3,0)</f>
        <v>#REF!</v>
      </c>
      <c r="E914" s="85">
        <v>-0.12153110047846886</v>
      </c>
      <c r="F914">
        <v>42.26</v>
      </c>
    </row>
    <row r="915" spans="1:6">
      <c r="A915">
        <v>5439</v>
      </c>
      <c r="B915" t="s">
        <v>473</v>
      </c>
      <c r="C915">
        <v>20.9</v>
      </c>
      <c r="D915" t="e">
        <f>VLOOKUP(A915,收盤價!A:B,3,0)</f>
        <v>#REF!</v>
      </c>
      <c r="E915" s="85">
        <v>-0.1220095693779903</v>
      </c>
      <c r="F915">
        <v>42.2</v>
      </c>
    </row>
    <row r="916" spans="1:6">
      <c r="A916">
        <v>2731</v>
      </c>
      <c r="B916" t="s">
        <v>1601</v>
      </c>
      <c r="C916">
        <v>167.5</v>
      </c>
      <c r="D916" t="e">
        <f>VLOOKUP(A916,收盤價!A:B,3,0)</f>
        <v>#REF!</v>
      </c>
      <c r="E916" s="85">
        <v>-0.12238805970149254</v>
      </c>
      <c r="F916">
        <v>42.14</v>
      </c>
    </row>
    <row r="917" spans="1:6">
      <c r="A917">
        <v>3443</v>
      </c>
      <c r="B917" t="s">
        <v>1732</v>
      </c>
      <c r="C917">
        <v>76.5</v>
      </c>
      <c r="D917" t="e">
        <f>VLOOKUP(A917,收盤價!A:B,3,0)</f>
        <v>#REF!</v>
      </c>
      <c r="E917" s="85">
        <v>-0.12287581699346413</v>
      </c>
      <c r="F917">
        <v>42.07</v>
      </c>
    </row>
    <row r="918" spans="1:6">
      <c r="A918">
        <v>8182</v>
      </c>
      <c r="B918" t="s">
        <v>2416</v>
      </c>
      <c r="C918">
        <v>13.8</v>
      </c>
      <c r="D918" t="e">
        <f>VLOOKUP(A918,收盤價!A:B,3,0)</f>
        <v>#REF!</v>
      </c>
      <c r="E918" s="85">
        <v>-0.12318840579710152</v>
      </c>
      <c r="F918">
        <v>42.01</v>
      </c>
    </row>
    <row r="919" spans="1:6">
      <c r="A919">
        <v>5383</v>
      </c>
      <c r="B919" t="s">
        <v>2272</v>
      </c>
      <c r="C919">
        <v>10.199999999999999</v>
      </c>
      <c r="D919" t="e">
        <f>VLOOKUP(A919,收盤價!A:B,3,0)</f>
        <v>#REF!</v>
      </c>
      <c r="E919" s="85">
        <v>-0.12352941176470587</v>
      </c>
      <c r="F919">
        <v>41.95</v>
      </c>
    </row>
    <row r="920" spans="1:6">
      <c r="A920">
        <v>1530</v>
      </c>
      <c r="B920" t="s">
        <v>1269</v>
      </c>
      <c r="C920">
        <v>34.200000000000003</v>
      </c>
      <c r="D920">
        <f>VLOOKUP(A920,收盤價!A:C,3,0)</f>
        <v>29.55</v>
      </c>
      <c r="E920" s="85">
        <v>-0.12426900584795331</v>
      </c>
      <c r="F920">
        <v>41.88</v>
      </c>
    </row>
    <row r="921" spans="1:6">
      <c r="A921">
        <v>1262</v>
      </c>
      <c r="B921" t="s">
        <v>1175</v>
      </c>
      <c r="C921">
        <v>140.5</v>
      </c>
      <c r="D921">
        <f>VLOOKUP(A921,收盤價!A:C,3,0)</f>
        <v>123.5</v>
      </c>
      <c r="E921" s="85">
        <v>-0.12455516014234876</v>
      </c>
      <c r="F921">
        <v>41.82</v>
      </c>
    </row>
    <row r="922" spans="1:6">
      <c r="A922">
        <v>3339</v>
      </c>
      <c r="B922" t="s">
        <v>2114</v>
      </c>
      <c r="C922">
        <v>5.6</v>
      </c>
      <c r="D922" t="e">
        <f>VLOOKUP(A922,收盤價!A:B,3,0)</f>
        <v>#REF!</v>
      </c>
      <c r="E922" s="85">
        <v>-0.12499999999999988</v>
      </c>
      <c r="F922">
        <v>41.76</v>
      </c>
    </row>
    <row r="923" spans="1:6">
      <c r="A923">
        <v>8354</v>
      </c>
      <c r="B923" t="s">
        <v>2427</v>
      </c>
      <c r="C923">
        <v>16</v>
      </c>
      <c r="D923" t="e">
        <f>VLOOKUP(A923,收盤價!A:B,3,0)</f>
        <v>#REF!</v>
      </c>
      <c r="E923" s="85">
        <v>-0.125</v>
      </c>
      <c r="F923">
        <v>41.69</v>
      </c>
    </row>
    <row r="924" spans="1:6">
      <c r="A924">
        <v>6166</v>
      </c>
      <c r="B924" t="s">
        <v>1883</v>
      </c>
      <c r="C924">
        <v>104</v>
      </c>
      <c r="D924" t="e">
        <f>VLOOKUP(A924,收盤價!A:B,3,0)</f>
        <v>#REF!</v>
      </c>
      <c r="E924" s="85">
        <v>-0.125</v>
      </c>
      <c r="F924">
        <v>41.63</v>
      </c>
    </row>
    <row r="925" spans="1:6">
      <c r="A925">
        <v>1218</v>
      </c>
      <c r="B925" t="s">
        <v>1163</v>
      </c>
      <c r="C925">
        <v>12</v>
      </c>
      <c r="D925">
        <f>VLOOKUP(A925,收盤價!A:C,3,0)</f>
        <v>10.3</v>
      </c>
      <c r="E925" s="85">
        <v>-0.125</v>
      </c>
      <c r="F925">
        <v>41.57</v>
      </c>
    </row>
    <row r="926" spans="1:6">
      <c r="A926">
        <v>6245</v>
      </c>
      <c r="B926" t="s">
        <v>2361</v>
      </c>
      <c r="C926">
        <v>45.6</v>
      </c>
      <c r="D926" t="e">
        <f>VLOOKUP(A926,收盤價!A:B,3,0)</f>
        <v>#REF!</v>
      </c>
      <c r="E926" s="85">
        <v>-0.12500000000000006</v>
      </c>
      <c r="F926">
        <v>41.5</v>
      </c>
    </row>
    <row r="927" spans="1:6">
      <c r="A927">
        <v>8416</v>
      </c>
      <c r="B927" t="s">
        <v>557</v>
      </c>
      <c r="C927">
        <v>115.5</v>
      </c>
      <c r="D927" t="e">
        <f>VLOOKUP(A927,收盤價!A:B,3,0)</f>
        <v>#REF!</v>
      </c>
      <c r="E927" s="85">
        <v>-0.12554112554112554</v>
      </c>
      <c r="F927">
        <v>41.44</v>
      </c>
    </row>
    <row r="928" spans="1:6">
      <c r="A928">
        <v>8390</v>
      </c>
      <c r="B928" t="s">
        <v>2429</v>
      </c>
      <c r="C928">
        <v>17.100000000000001</v>
      </c>
      <c r="D928" t="e">
        <f>VLOOKUP(A928,收盤價!A:B,3,0)</f>
        <v>#REF!</v>
      </c>
      <c r="E928" s="85">
        <v>-0.12573099415204689</v>
      </c>
      <c r="F928">
        <v>41.38</v>
      </c>
    </row>
    <row r="929" spans="1:6">
      <c r="A929">
        <v>2314</v>
      </c>
      <c r="B929" t="s">
        <v>1408</v>
      </c>
      <c r="C929">
        <v>10.8</v>
      </c>
      <c r="D929">
        <f>VLOOKUP(A929,收盤價!A:C,3,0)</f>
        <v>9.5</v>
      </c>
      <c r="E929" s="85">
        <v>-0.12592592592592602</v>
      </c>
      <c r="F929">
        <v>41.31</v>
      </c>
    </row>
    <row r="930" spans="1:6">
      <c r="A930">
        <v>4716</v>
      </c>
      <c r="B930" t="s">
        <v>2218</v>
      </c>
      <c r="C930">
        <v>11.35</v>
      </c>
      <c r="D930" t="e">
        <f>VLOOKUP(A930,收盤價!A:B,3,0)</f>
        <v>#REF!</v>
      </c>
      <c r="E930" s="85">
        <v>-0.12599118942731274</v>
      </c>
      <c r="F930">
        <v>41.25</v>
      </c>
    </row>
    <row r="931" spans="1:6">
      <c r="A931">
        <v>5512</v>
      </c>
      <c r="B931" t="s">
        <v>484</v>
      </c>
      <c r="C931">
        <v>11.8</v>
      </c>
      <c r="D931" t="e">
        <f>VLOOKUP(A931,收盤價!A:B,3,0)</f>
        <v>#REF!</v>
      </c>
      <c r="E931" s="85">
        <v>-0.1271186440677966</v>
      </c>
      <c r="F931">
        <v>41.19</v>
      </c>
    </row>
    <row r="932" spans="1:6">
      <c r="A932">
        <v>2516</v>
      </c>
      <c r="B932" t="s">
        <v>1552</v>
      </c>
      <c r="C932">
        <v>7.78</v>
      </c>
      <c r="D932" t="e">
        <f>VLOOKUP(A932,收盤價!A:B,3,0)</f>
        <v>#REF!</v>
      </c>
      <c r="E932" s="85">
        <v>-0.12724935732647819</v>
      </c>
      <c r="F932">
        <v>41.12</v>
      </c>
    </row>
    <row r="933" spans="1:6">
      <c r="A933">
        <v>6449</v>
      </c>
      <c r="B933" t="s">
        <v>1932</v>
      </c>
      <c r="C933">
        <v>32.950000000000003</v>
      </c>
      <c r="D933" t="e">
        <f>VLOOKUP(A933,收盤價!A:B,3,0)</f>
        <v>#REF!</v>
      </c>
      <c r="E933" s="85">
        <v>-0.12746585735963589</v>
      </c>
      <c r="F933">
        <v>41.06</v>
      </c>
    </row>
    <row r="934" spans="1:6">
      <c r="A934">
        <v>1817</v>
      </c>
      <c r="B934" t="s">
        <v>1344</v>
      </c>
      <c r="C934">
        <v>37.5</v>
      </c>
      <c r="D934">
        <f>VLOOKUP(A934,收盤價!A:C,3,0)</f>
        <v>34.299999999999997</v>
      </c>
      <c r="E934" s="85">
        <v>-0.12799999999999992</v>
      </c>
      <c r="F934">
        <v>41</v>
      </c>
    </row>
    <row r="935" spans="1:6">
      <c r="A935">
        <v>5263</v>
      </c>
      <c r="B935" t="s">
        <v>2251</v>
      </c>
      <c r="C935">
        <v>332</v>
      </c>
      <c r="D935" t="e">
        <f>VLOOKUP(A935,收盤價!A:B,3,0)</f>
        <v>#REF!</v>
      </c>
      <c r="E935" s="85">
        <v>-0.12801204819277109</v>
      </c>
      <c r="F935">
        <v>40.93</v>
      </c>
    </row>
    <row r="936" spans="1:6">
      <c r="A936">
        <v>6164</v>
      </c>
      <c r="B936" t="s">
        <v>1881</v>
      </c>
      <c r="C936">
        <v>12.85</v>
      </c>
      <c r="D936" t="e">
        <f>VLOOKUP(A936,收盤價!A:B,3,0)</f>
        <v>#REF!</v>
      </c>
      <c r="E936" s="85">
        <v>-0.12840466926070043</v>
      </c>
      <c r="F936">
        <v>40.869999999999997</v>
      </c>
    </row>
    <row r="937" spans="1:6">
      <c r="A937">
        <v>3218</v>
      </c>
      <c r="B937" t="s">
        <v>341</v>
      </c>
      <c r="C937">
        <v>29.2</v>
      </c>
      <c r="D937" t="e">
        <f>VLOOKUP(A937,收盤價!A:B,3,0)</f>
        <v>#REF!</v>
      </c>
      <c r="E937" s="85">
        <v>-0.12842465753424659</v>
      </c>
      <c r="F937">
        <v>40.81</v>
      </c>
    </row>
    <row r="938" spans="1:6">
      <c r="A938">
        <v>2881</v>
      </c>
      <c r="B938" t="s">
        <v>1623</v>
      </c>
      <c r="C938">
        <v>61.4</v>
      </c>
      <c r="D938" t="e">
        <f>VLOOKUP(A938,收盤價!A:B,3,0)</f>
        <v>#REF!</v>
      </c>
      <c r="E938" s="85">
        <v>-0.12866449511400649</v>
      </c>
      <c r="F938">
        <v>40.75</v>
      </c>
    </row>
    <row r="939" spans="1:6">
      <c r="A939">
        <v>2511</v>
      </c>
      <c r="B939" t="s">
        <v>1549</v>
      </c>
      <c r="C939">
        <v>11.65</v>
      </c>
      <c r="D939" t="e">
        <f>VLOOKUP(A939,收盤價!A:B,3,0)</f>
        <v>#REF!</v>
      </c>
      <c r="E939" s="85">
        <v>-0.12875536480686695</v>
      </c>
      <c r="F939">
        <v>40.68</v>
      </c>
    </row>
    <row r="940" spans="1:6">
      <c r="A940">
        <v>1233</v>
      </c>
      <c r="B940" t="s">
        <v>1171</v>
      </c>
      <c r="C940">
        <v>44.2</v>
      </c>
      <c r="D940">
        <f>VLOOKUP(A940,收盤價!A:C,3,0)</f>
        <v>39</v>
      </c>
      <c r="E940" s="85">
        <v>-0.12895927601809962</v>
      </c>
      <c r="F940">
        <v>40.619999999999997</v>
      </c>
    </row>
    <row r="941" spans="1:6">
      <c r="A941">
        <v>6146</v>
      </c>
      <c r="B941" t="s">
        <v>498</v>
      </c>
      <c r="C941">
        <v>208.5</v>
      </c>
      <c r="D941" t="e">
        <f>VLOOKUP(A941,收盤價!A:B,3,0)</f>
        <v>#REF!</v>
      </c>
      <c r="E941" s="85">
        <v>-0.12949640287769784</v>
      </c>
      <c r="F941">
        <v>40.56</v>
      </c>
    </row>
    <row r="942" spans="1:6">
      <c r="A942">
        <v>1539</v>
      </c>
      <c r="B942" t="s">
        <v>1277</v>
      </c>
      <c r="C942">
        <v>40.5</v>
      </c>
      <c r="D942">
        <f>VLOOKUP(A942,收盤價!A:C,3,0)</f>
        <v>37.75</v>
      </c>
      <c r="E942" s="85">
        <v>-0.12962962962962962</v>
      </c>
      <c r="F942">
        <v>40.49</v>
      </c>
    </row>
    <row r="943" spans="1:6">
      <c r="A943">
        <v>4120</v>
      </c>
      <c r="B943" t="s">
        <v>406</v>
      </c>
      <c r="C943">
        <v>61.7</v>
      </c>
      <c r="D943" t="e">
        <f>VLOOKUP(A943,收盤價!A:B,3,0)</f>
        <v>#REF!</v>
      </c>
      <c r="E943" s="85">
        <v>-0.12965964343598055</v>
      </c>
      <c r="F943">
        <v>40.43</v>
      </c>
    </row>
    <row r="944" spans="1:6">
      <c r="A944">
        <v>2548</v>
      </c>
      <c r="B944" t="s">
        <v>1570</v>
      </c>
      <c r="C944">
        <v>67</v>
      </c>
      <c r="D944" t="e">
        <f>VLOOKUP(A944,收盤價!A:B,3,0)</f>
        <v>#REF!</v>
      </c>
      <c r="E944" s="85">
        <v>-0.12985074626865675</v>
      </c>
      <c r="F944">
        <v>40.369999999999997</v>
      </c>
    </row>
    <row r="945" spans="1:6">
      <c r="A945">
        <v>1582</v>
      </c>
      <c r="B945" t="s">
        <v>1283</v>
      </c>
      <c r="C945">
        <v>56.6</v>
      </c>
      <c r="D945">
        <f>VLOOKUP(A945,收盤價!A:C,3,0)</f>
        <v>50.6</v>
      </c>
      <c r="E945" s="85">
        <v>-0.12985865724381629</v>
      </c>
      <c r="F945">
        <v>40.299999999999997</v>
      </c>
    </row>
    <row r="946" spans="1:6">
      <c r="A946">
        <v>6015</v>
      </c>
      <c r="B946" t="s">
        <v>2307</v>
      </c>
      <c r="C946">
        <v>7.45</v>
      </c>
      <c r="D946" t="e">
        <f>VLOOKUP(A946,收盤價!A:B,3,0)</f>
        <v>#REF!</v>
      </c>
      <c r="E946" s="85">
        <v>-0.13020134228187916</v>
      </c>
      <c r="F946">
        <v>40.24</v>
      </c>
    </row>
    <row r="947" spans="1:6">
      <c r="A947">
        <v>6168</v>
      </c>
      <c r="B947" t="s">
        <v>1884</v>
      </c>
      <c r="C947">
        <v>13.8</v>
      </c>
      <c r="D947" t="e">
        <f>VLOOKUP(A947,收盤價!A:B,3,0)</f>
        <v>#REF!</v>
      </c>
      <c r="E947" s="85">
        <v>-0.1304347826086957</v>
      </c>
      <c r="F947">
        <v>40.18</v>
      </c>
    </row>
    <row r="948" spans="1:6">
      <c r="A948">
        <v>1472</v>
      </c>
      <c r="B948" t="s">
        <v>1244</v>
      </c>
      <c r="C948">
        <v>16.100000000000001</v>
      </c>
      <c r="D948">
        <f>VLOOKUP(A948,收盤價!A:C,3,0)</f>
        <v>14.25</v>
      </c>
      <c r="E948" s="85">
        <v>-0.13043478260869573</v>
      </c>
      <c r="F948">
        <v>40.11</v>
      </c>
    </row>
    <row r="949" spans="1:6">
      <c r="A949">
        <v>2888</v>
      </c>
      <c r="B949" t="s">
        <v>1630</v>
      </c>
      <c r="C949">
        <v>9.42</v>
      </c>
      <c r="D949" t="e">
        <f>VLOOKUP(A949,收盤價!A:B,3,0)</f>
        <v>#REF!</v>
      </c>
      <c r="E949" s="85">
        <v>-0.13057324840764337</v>
      </c>
      <c r="F949">
        <v>40.049999999999997</v>
      </c>
    </row>
    <row r="950" spans="1:6">
      <c r="A950">
        <v>8443</v>
      </c>
      <c r="B950" t="s">
        <v>1973</v>
      </c>
      <c r="C950">
        <v>26.8</v>
      </c>
      <c r="D950" t="e">
        <f>VLOOKUP(A950,收盤價!A:B,3,0)</f>
        <v>#REF!</v>
      </c>
      <c r="E950" s="85">
        <v>-0.13059701492537312</v>
      </c>
      <c r="F950">
        <v>39.99</v>
      </c>
    </row>
    <row r="951" spans="1:6">
      <c r="A951">
        <v>2359</v>
      </c>
      <c r="B951" t="s">
        <v>1438</v>
      </c>
      <c r="C951">
        <v>16.8</v>
      </c>
      <c r="D951" t="e">
        <f>VLOOKUP(A951,收盤價!A:B,3,0)</f>
        <v>#REF!</v>
      </c>
      <c r="E951" s="85">
        <v>-0.13095238095238101</v>
      </c>
      <c r="F951">
        <v>39.92</v>
      </c>
    </row>
    <row r="952" spans="1:6">
      <c r="A952">
        <v>3598</v>
      </c>
      <c r="B952" t="s">
        <v>1762</v>
      </c>
      <c r="C952">
        <v>56.5</v>
      </c>
      <c r="D952" t="e">
        <f>VLOOKUP(A952,收盤價!A:B,3,0)</f>
        <v>#REF!</v>
      </c>
      <c r="E952" s="85">
        <v>-0.1309734513274336</v>
      </c>
      <c r="F952">
        <v>39.86</v>
      </c>
    </row>
    <row r="953" spans="1:6">
      <c r="A953">
        <v>3213</v>
      </c>
      <c r="B953" t="s">
        <v>2093</v>
      </c>
      <c r="C953">
        <v>46.15</v>
      </c>
      <c r="D953" t="e">
        <f>VLOOKUP(A953,收盤價!A:B,3,0)</f>
        <v>#REF!</v>
      </c>
      <c r="E953" s="85">
        <v>-0.13109425785482118</v>
      </c>
      <c r="F953">
        <v>39.799999999999997</v>
      </c>
    </row>
    <row r="954" spans="1:6">
      <c r="A954">
        <v>6275</v>
      </c>
      <c r="B954" t="s">
        <v>2366</v>
      </c>
      <c r="C954">
        <v>14.45</v>
      </c>
      <c r="D954" t="e">
        <f>VLOOKUP(A954,收盤價!A:B,3,0)</f>
        <v>#REF!</v>
      </c>
      <c r="E954" s="85">
        <v>-0.13148788927335631</v>
      </c>
      <c r="F954">
        <v>39.729999999999997</v>
      </c>
    </row>
    <row r="955" spans="1:6">
      <c r="A955">
        <v>3115</v>
      </c>
      <c r="B955" t="s">
        <v>2080</v>
      </c>
      <c r="C955">
        <v>11.4</v>
      </c>
      <c r="D955" t="e">
        <f>VLOOKUP(A955,收盤價!A:B,3,0)</f>
        <v>#REF!</v>
      </c>
      <c r="E955" s="85">
        <v>-0.13157894736842105</v>
      </c>
      <c r="F955">
        <v>39.67</v>
      </c>
    </row>
    <row r="956" spans="1:6">
      <c r="A956">
        <v>3607</v>
      </c>
      <c r="B956" t="s">
        <v>1764</v>
      </c>
      <c r="C956">
        <v>68.3</v>
      </c>
      <c r="D956" t="e">
        <f>VLOOKUP(A956,收盤價!A:B,3,0)</f>
        <v>#REF!</v>
      </c>
      <c r="E956" s="85">
        <v>-0.13177159590043924</v>
      </c>
      <c r="F956">
        <v>39.61</v>
      </c>
    </row>
    <row r="957" spans="1:6">
      <c r="A957">
        <v>1609</v>
      </c>
      <c r="B957" t="s">
        <v>1292</v>
      </c>
      <c r="C957">
        <v>5.53</v>
      </c>
      <c r="D957">
        <f>VLOOKUP(A957,收盤價!A:C,3,0)</f>
        <v>4.74</v>
      </c>
      <c r="E957" s="85">
        <v>-0.13200723327305613</v>
      </c>
      <c r="F957">
        <v>39.549999999999997</v>
      </c>
    </row>
    <row r="958" spans="1:6">
      <c r="A958">
        <v>6208</v>
      </c>
      <c r="B958" t="s">
        <v>2349</v>
      </c>
      <c r="C958">
        <v>13.25</v>
      </c>
      <c r="D958" t="e">
        <f>VLOOKUP(A958,收盤價!A:B,3,0)</f>
        <v>#REF!</v>
      </c>
      <c r="E958" s="85">
        <v>-0.13207547169811321</v>
      </c>
      <c r="F958">
        <v>39.479999999999997</v>
      </c>
    </row>
    <row r="959" spans="1:6">
      <c r="A959">
        <v>2414</v>
      </c>
      <c r="B959" t="s">
        <v>1476</v>
      </c>
      <c r="C959">
        <v>18.149999999999999</v>
      </c>
      <c r="D959" t="e">
        <f>VLOOKUP(A959,收盤價!A:B,3,0)</f>
        <v>#REF!</v>
      </c>
      <c r="E959" s="85">
        <v>-0.13223140495867761</v>
      </c>
      <c r="F959">
        <v>39.42</v>
      </c>
    </row>
    <row r="960" spans="1:6">
      <c r="A960">
        <v>2013</v>
      </c>
      <c r="B960" t="s">
        <v>1359</v>
      </c>
      <c r="C960">
        <v>23.05</v>
      </c>
      <c r="D960">
        <f>VLOOKUP(A960,收盤價!A:C,3,0)</f>
        <v>20</v>
      </c>
      <c r="E960" s="85">
        <v>-0.13232104121475058</v>
      </c>
      <c r="F960">
        <v>39.36</v>
      </c>
    </row>
    <row r="961" spans="1:6">
      <c r="A961">
        <v>3030</v>
      </c>
      <c r="B961" t="s">
        <v>1673</v>
      </c>
      <c r="C961">
        <v>67.8</v>
      </c>
      <c r="D961" t="e">
        <f>VLOOKUP(A961,收盤價!A:B,3,0)</f>
        <v>#REF!</v>
      </c>
      <c r="E961" s="85">
        <v>-0.13274336283185842</v>
      </c>
      <c r="F961">
        <v>39.29</v>
      </c>
    </row>
    <row r="962" spans="1:6">
      <c r="A962">
        <v>9927</v>
      </c>
      <c r="B962" t="s">
        <v>2020</v>
      </c>
      <c r="C962">
        <v>35.4</v>
      </c>
      <c r="D962" t="e">
        <f>VLOOKUP(A962,收盤價!A:B,3,0)</f>
        <v>#REF!</v>
      </c>
      <c r="E962" s="85">
        <v>-0.1327683615819209</v>
      </c>
      <c r="F962">
        <v>39.229999999999997</v>
      </c>
    </row>
    <row r="963" spans="1:6">
      <c r="A963">
        <v>3040</v>
      </c>
      <c r="B963" t="s">
        <v>1682</v>
      </c>
      <c r="C963">
        <v>42</v>
      </c>
      <c r="D963" t="e">
        <f>VLOOKUP(A963,收盤價!A:B,3,0)</f>
        <v>#REF!</v>
      </c>
      <c r="E963" s="85">
        <v>-0.13333333333333336</v>
      </c>
      <c r="F963">
        <v>39.17</v>
      </c>
    </row>
    <row r="964" spans="1:6">
      <c r="A964">
        <v>8043</v>
      </c>
      <c r="B964" t="s">
        <v>2386</v>
      </c>
      <c r="C964">
        <v>16.100000000000001</v>
      </c>
      <c r="D964" t="e">
        <f>VLOOKUP(A964,收盤價!A:B,3,0)</f>
        <v>#REF!</v>
      </c>
      <c r="E964" s="85">
        <v>-0.13354037267080757</v>
      </c>
      <c r="F964">
        <v>39.1</v>
      </c>
    </row>
    <row r="965" spans="1:6">
      <c r="A965">
        <v>6145</v>
      </c>
      <c r="B965" t="s">
        <v>1877</v>
      </c>
      <c r="C965">
        <v>15.35</v>
      </c>
      <c r="D965" t="e">
        <f>VLOOKUP(A965,收盤價!A:B,3,0)</f>
        <v>#REF!</v>
      </c>
      <c r="E965" s="85">
        <v>-0.13355048859934845</v>
      </c>
      <c r="F965">
        <v>39.04</v>
      </c>
    </row>
    <row r="966" spans="1:6">
      <c r="A966">
        <v>8422</v>
      </c>
      <c r="B966" t="s">
        <v>1970</v>
      </c>
      <c r="C966">
        <v>182.5</v>
      </c>
      <c r="D966" t="e">
        <f>VLOOKUP(A966,收盤價!A:B,3,0)</f>
        <v>#REF!</v>
      </c>
      <c r="E966" s="85">
        <v>-0.13424657534246576</v>
      </c>
      <c r="F966">
        <v>38.979999999999997</v>
      </c>
    </row>
    <row r="967" spans="1:6">
      <c r="A967">
        <v>8349</v>
      </c>
      <c r="B967" t="s">
        <v>2426</v>
      </c>
      <c r="C967">
        <v>95.3</v>
      </c>
      <c r="D967" t="e">
        <f>VLOOKUP(A967,收盤價!A:B,3,0)</f>
        <v>#REF!</v>
      </c>
      <c r="E967" s="85">
        <v>-0.13431269674711435</v>
      </c>
      <c r="F967">
        <v>38.909999999999997</v>
      </c>
    </row>
    <row r="968" spans="1:6">
      <c r="A968">
        <v>8042</v>
      </c>
      <c r="B968" t="s">
        <v>2385</v>
      </c>
      <c r="C968">
        <v>44.4</v>
      </c>
      <c r="D968" t="e">
        <f>VLOOKUP(A968,收盤價!A:B,3,0)</f>
        <v>#REF!</v>
      </c>
      <c r="E968" s="85">
        <v>-0.13513513513513514</v>
      </c>
      <c r="F968">
        <v>38.85</v>
      </c>
    </row>
    <row r="969" spans="1:6">
      <c r="A969">
        <v>1473</v>
      </c>
      <c r="B969" t="s">
        <v>1245</v>
      </c>
      <c r="C969">
        <v>29.5</v>
      </c>
      <c r="D969">
        <f>VLOOKUP(A969,收盤價!A:C,3,0)</f>
        <v>25.9</v>
      </c>
      <c r="E969" s="85">
        <v>-0.13559322033898305</v>
      </c>
      <c r="F969">
        <v>38.79</v>
      </c>
    </row>
    <row r="970" spans="1:6">
      <c r="A970">
        <v>6457</v>
      </c>
      <c r="B970" t="s">
        <v>2377</v>
      </c>
      <c r="C970">
        <v>37.15</v>
      </c>
      <c r="D970" t="e">
        <f>VLOOKUP(A970,收盤價!A:B,3,0)</f>
        <v>#REF!</v>
      </c>
      <c r="E970" s="85">
        <v>-0.13593539703903088</v>
      </c>
      <c r="F970">
        <v>38.72</v>
      </c>
    </row>
    <row r="971" spans="1:6">
      <c r="A971">
        <v>1538</v>
      </c>
      <c r="B971" t="s">
        <v>1276</v>
      </c>
      <c r="C971">
        <v>5.22</v>
      </c>
      <c r="D971">
        <f>VLOOKUP(A971,收盤價!A:C,3,0)</f>
        <v>5.01</v>
      </c>
      <c r="E971" s="85">
        <v>-0.13601532567049809</v>
      </c>
      <c r="F971">
        <v>38.659999999999997</v>
      </c>
    </row>
    <row r="972" spans="1:6">
      <c r="A972">
        <v>3653</v>
      </c>
      <c r="B972" t="s">
        <v>1768</v>
      </c>
      <c r="C972">
        <v>54.4</v>
      </c>
      <c r="D972" t="e">
        <f>VLOOKUP(A972,收盤價!A:B,3,0)</f>
        <v>#REF!</v>
      </c>
      <c r="E972" s="85">
        <v>-0.13602941176470587</v>
      </c>
      <c r="F972">
        <v>38.6</v>
      </c>
    </row>
    <row r="973" spans="1:6">
      <c r="A973">
        <v>8401</v>
      </c>
      <c r="B973" t="s">
        <v>2430</v>
      </c>
      <c r="C973">
        <v>15.05</v>
      </c>
      <c r="D973" t="e">
        <f>VLOOKUP(A973,收盤價!A:B,3,0)</f>
        <v>#REF!</v>
      </c>
      <c r="E973" s="85">
        <v>-0.13621262458471764</v>
      </c>
      <c r="F973">
        <v>38.53</v>
      </c>
    </row>
    <row r="974" spans="1:6">
      <c r="A974">
        <v>6020</v>
      </c>
      <c r="B974" t="s">
        <v>492</v>
      </c>
      <c r="C974">
        <v>15.4</v>
      </c>
      <c r="D974" t="e">
        <f>VLOOKUP(A974,收盤價!A:B,3,0)</f>
        <v>#REF!</v>
      </c>
      <c r="E974" s="85">
        <v>-0.13636363636363633</v>
      </c>
      <c r="F974">
        <v>38.47</v>
      </c>
    </row>
    <row r="975" spans="1:6">
      <c r="A975">
        <v>4432</v>
      </c>
      <c r="B975" t="s">
        <v>2201</v>
      </c>
      <c r="C975">
        <v>95.9</v>
      </c>
      <c r="D975" t="e">
        <f>VLOOKUP(A975,收盤價!A:B,3,0)</f>
        <v>#REF!</v>
      </c>
      <c r="E975" s="85">
        <v>-0.13660062565172063</v>
      </c>
      <c r="F975">
        <v>38.409999999999997</v>
      </c>
    </row>
    <row r="976" spans="1:6">
      <c r="A976">
        <v>2882</v>
      </c>
      <c r="B976" t="s">
        <v>1624</v>
      </c>
      <c r="C976">
        <v>53.9</v>
      </c>
      <c r="D976" t="e">
        <f>VLOOKUP(A976,收盤價!A:B,3,0)</f>
        <v>#REF!</v>
      </c>
      <c r="E976" s="85">
        <v>-0.13729128014842298</v>
      </c>
      <c r="F976">
        <v>38.340000000000003</v>
      </c>
    </row>
    <row r="977" spans="1:6">
      <c r="A977">
        <v>1802</v>
      </c>
      <c r="B977" t="s">
        <v>1338</v>
      </c>
      <c r="C977">
        <v>14.85</v>
      </c>
      <c r="D977">
        <f>VLOOKUP(A977,收盤價!A:C,3,0)</f>
        <v>13.25</v>
      </c>
      <c r="E977" s="85">
        <v>-0.13804713804713797</v>
      </c>
      <c r="F977">
        <v>38.28</v>
      </c>
    </row>
    <row r="978" spans="1:6">
      <c r="A978">
        <v>9933</v>
      </c>
      <c r="B978" t="s">
        <v>2025</v>
      </c>
      <c r="C978">
        <v>49.9</v>
      </c>
      <c r="D978" t="e">
        <f>VLOOKUP(A978,收盤價!A:B,3,0)</f>
        <v>#REF!</v>
      </c>
      <c r="E978" s="85">
        <v>-0.1382765531062124</v>
      </c>
      <c r="F978">
        <v>38.22</v>
      </c>
    </row>
    <row r="979" spans="1:6">
      <c r="A979">
        <v>5201</v>
      </c>
      <c r="B979" t="s">
        <v>2244</v>
      </c>
      <c r="C979">
        <v>14.1</v>
      </c>
      <c r="D979" t="e">
        <f>VLOOKUP(A979,收盤價!A:B,3,0)</f>
        <v>#REF!</v>
      </c>
      <c r="E979" s="85">
        <v>-0.13829787234042548</v>
      </c>
      <c r="F979">
        <v>38.159999999999997</v>
      </c>
    </row>
    <row r="980" spans="1:6">
      <c r="A980">
        <v>5310</v>
      </c>
      <c r="B980" t="s">
        <v>2259</v>
      </c>
      <c r="C980">
        <v>31</v>
      </c>
      <c r="D980" t="e">
        <f>VLOOKUP(A980,收盤價!A:B,3,0)</f>
        <v>#REF!</v>
      </c>
      <c r="E980" s="85">
        <v>-0.13870967741935486</v>
      </c>
      <c r="F980">
        <v>38.090000000000003</v>
      </c>
    </row>
    <row r="981" spans="1:6">
      <c r="A981">
        <v>3206</v>
      </c>
      <c r="B981" t="s">
        <v>2091</v>
      </c>
      <c r="C981">
        <v>29.05</v>
      </c>
      <c r="D981" t="e">
        <f>VLOOKUP(A981,收盤價!A:B,3,0)</f>
        <v>#REF!</v>
      </c>
      <c r="E981" s="85">
        <v>-0.13941480206540449</v>
      </c>
      <c r="F981">
        <v>38.03</v>
      </c>
    </row>
    <row r="982" spans="1:6">
      <c r="A982">
        <v>6155</v>
      </c>
      <c r="B982" t="s">
        <v>1880</v>
      </c>
      <c r="C982">
        <v>19.7</v>
      </c>
      <c r="D982" t="e">
        <f>VLOOKUP(A982,收盤價!A:B,3,0)</f>
        <v>#REF!</v>
      </c>
      <c r="E982" s="85">
        <v>-0.13959390862944163</v>
      </c>
      <c r="F982">
        <v>37.97</v>
      </c>
    </row>
    <row r="983" spans="1:6">
      <c r="A983">
        <v>4138</v>
      </c>
      <c r="B983" t="s">
        <v>2178</v>
      </c>
      <c r="C983">
        <v>70.2</v>
      </c>
      <c r="D983" t="e">
        <f>VLOOKUP(A983,收盤價!A:B,3,0)</f>
        <v>#REF!</v>
      </c>
      <c r="E983" s="85">
        <v>-0.13960113960113965</v>
      </c>
      <c r="F983">
        <v>37.9</v>
      </c>
    </row>
    <row r="984" spans="1:6">
      <c r="A984">
        <v>3033</v>
      </c>
      <c r="B984" t="s">
        <v>1676</v>
      </c>
      <c r="C984">
        <v>22.9</v>
      </c>
      <c r="D984" t="e">
        <f>VLOOKUP(A984,收盤價!A:B,3,0)</f>
        <v>#REF!</v>
      </c>
      <c r="E984" s="85">
        <v>-0.13973799126637551</v>
      </c>
      <c r="F984">
        <v>37.840000000000003</v>
      </c>
    </row>
    <row r="985" spans="1:6">
      <c r="A985">
        <v>8929</v>
      </c>
      <c r="B985" t="s">
        <v>572</v>
      </c>
      <c r="C985">
        <v>27.55</v>
      </c>
      <c r="D985" t="e">
        <f>VLOOKUP(A985,收盤價!A:B,3,0)</f>
        <v>#REF!</v>
      </c>
      <c r="E985" s="85">
        <v>-0.13974591651542653</v>
      </c>
      <c r="F985">
        <v>37.78</v>
      </c>
    </row>
    <row r="986" spans="1:6">
      <c r="A986">
        <v>1436</v>
      </c>
      <c r="B986" t="s">
        <v>1213</v>
      </c>
      <c r="C986">
        <v>47.9</v>
      </c>
      <c r="D986">
        <f>VLOOKUP(A986,收盤價!A:C,3,0)</f>
        <v>39.799999999999997</v>
      </c>
      <c r="E986" s="85">
        <v>-0.13987473903966588</v>
      </c>
      <c r="F986">
        <v>37.71</v>
      </c>
    </row>
    <row r="987" spans="1:6">
      <c r="A987">
        <v>3290</v>
      </c>
      <c r="B987" t="s">
        <v>2106</v>
      </c>
      <c r="C987">
        <v>18.55</v>
      </c>
      <c r="D987" t="e">
        <f>VLOOKUP(A987,收盤價!A:B,3,0)</f>
        <v>#REF!</v>
      </c>
      <c r="E987" s="85">
        <v>-0.14016172506738553</v>
      </c>
      <c r="F987">
        <v>37.65</v>
      </c>
    </row>
    <row r="988" spans="1:6">
      <c r="A988">
        <v>4965</v>
      </c>
      <c r="B988" t="s">
        <v>440</v>
      </c>
      <c r="C988">
        <v>164</v>
      </c>
      <c r="D988" t="e">
        <f>VLOOKUP(A988,收盤價!A:B,3,0)</f>
        <v>#REF!</v>
      </c>
      <c r="E988" s="85">
        <v>-0.1402439024390244</v>
      </c>
      <c r="F988">
        <v>37.590000000000003</v>
      </c>
    </row>
    <row r="989" spans="1:6">
      <c r="A989">
        <v>2031</v>
      </c>
      <c r="B989" t="s">
        <v>1372</v>
      </c>
      <c r="C989">
        <v>17.100000000000001</v>
      </c>
      <c r="D989">
        <f>VLOOKUP(A989,收盤價!A:C,3,0)</f>
        <v>14.65</v>
      </c>
      <c r="E989" s="85">
        <v>-0.14035087719298256</v>
      </c>
      <c r="F989">
        <v>37.520000000000003</v>
      </c>
    </row>
    <row r="990" spans="1:6">
      <c r="A990">
        <v>3014</v>
      </c>
      <c r="B990" t="s">
        <v>1659</v>
      </c>
      <c r="C990">
        <v>33.1</v>
      </c>
      <c r="D990" t="e">
        <f>VLOOKUP(A990,收盤價!A:B,3,0)</f>
        <v>#REF!</v>
      </c>
      <c r="E990" s="85">
        <v>-0.14048338368580066</v>
      </c>
      <c r="F990">
        <v>37.46</v>
      </c>
    </row>
    <row r="991" spans="1:6">
      <c r="A991">
        <v>4111</v>
      </c>
      <c r="B991" t="s">
        <v>2170</v>
      </c>
      <c r="C991">
        <v>25.25</v>
      </c>
      <c r="D991" t="e">
        <f>VLOOKUP(A991,收盤價!A:B,3,0)</f>
        <v>#REF!</v>
      </c>
      <c r="E991" s="85">
        <v>-0.14059405940594064</v>
      </c>
      <c r="F991">
        <v>37.4</v>
      </c>
    </row>
    <row r="992" spans="1:6">
      <c r="A992">
        <v>5211</v>
      </c>
      <c r="B992" t="s">
        <v>449</v>
      </c>
      <c r="C992">
        <v>26.65</v>
      </c>
      <c r="D992" t="e">
        <f>VLOOKUP(A992,收盤價!A:B,3,0)</f>
        <v>#REF!</v>
      </c>
      <c r="E992" s="85">
        <v>-0.14071294559099437</v>
      </c>
      <c r="F992">
        <v>37.33</v>
      </c>
    </row>
    <row r="993" spans="1:6">
      <c r="A993">
        <v>6186</v>
      </c>
      <c r="B993" t="s">
        <v>508</v>
      </c>
      <c r="C993">
        <v>27</v>
      </c>
      <c r="D993" t="e">
        <f>VLOOKUP(A993,收盤價!A:B,3,0)</f>
        <v>#REF!</v>
      </c>
      <c r="E993" s="85">
        <v>-0.14074074074074078</v>
      </c>
      <c r="F993">
        <v>37.270000000000003</v>
      </c>
    </row>
    <row r="994" spans="1:6">
      <c r="A994">
        <v>4417</v>
      </c>
      <c r="B994" t="s">
        <v>2197</v>
      </c>
      <c r="C994">
        <v>49</v>
      </c>
      <c r="D994" t="e">
        <f>VLOOKUP(A994,收盤價!A:B,3,0)</f>
        <v>#REF!</v>
      </c>
      <c r="E994" s="85">
        <v>-0.14081632653061221</v>
      </c>
      <c r="F994">
        <v>37.21</v>
      </c>
    </row>
    <row r="995" spans="1:6">
      <c r="A995">
        <v>3682</v>
      </c>
      <c r="B995" t="s">
        <v>1774</v>
      </c>
      <c r="C995">
        <v>12.4</v>
      </c>
      <c r="D995" t="e">
        <f>VLOOKUP(A995,收盤價!A:B,3,0)</f>
        <v>#REF!</v>
      </c>
      <c r="E995" s="85">
        <v>-0.1411290322580645</v>
      </c>
      <c r="F995">
        <v>37.14</v>
      </c>
    </row>
    <row r="996" spans="1:6">
      <c r="A996">
        <v>6404</v>
      </c>
      <c r="B996" t="s">
        <v>2374</v>
      </c>
      <c r="C996">
        <v>63</v>
      </c>
      <c r="D996" t="e">
        <f>VLOOKUP(A996,收盤價!A:B,3,0)</f>
        <v>#REF!</v>
      </c>
      <c r="E996" s="85">
        <v>-0.14126984126984124</v>
      </c>
      <c r="F996">
        <v>37.08</v>
      </c>
    </row>
    <row r="997" spans="1:6">
      <c r="A997">
        <v>6124</v>
      </c>
      <c r="B997" t="s">
        <v>2323</v>
      </c>
      <c r="C997">
        <v>27.6</v>
      </c>
      <c r="D997" t="e">
        <f>VLOOKUP(A997,收盤價!A:B,3,0)</f>
        <v>#REF!</v>
      </c>
      <c r="E997" s="85">
        <v>-0.14130434782608703</v>
      </c>
      <c r="F997">
        <v>37.020000000000003</v>
      </c>
    </row>
    <row r="998" spans="1:6">
      <c r="A998">
        <v>5384</v>
      </c>
      <c r="B998" t="s">
        <v>469</v>
      </c>
      <c r="C998">
        <v>13.8</v>
      </c>
      <c r="D998" t="e">
        <f>VLOOKUP(A998,收盤價!A:B,3,0)</f>
        <v>#REF!</v>
      </c>
      <c r="E998" s="85">
        <v>-0.14130434782608703</v>
      </c>
      <c r="F998">
        <v>36.96</v>
      </c>
    </row>
    <row r="999" spans="1:6">
      <c r="A999">
        <v>1234</v>
      </c>
      <c r="B999" t="s">
        <v>1172</v>
      </c>
      <c r="C999">
        <v>36.4</v>
      </c>
      <c r="D999">
        <f>VLOOKUP(A999,收盤價!A:C,3,0)</f>
        <v>32.200000000000003</v>
      </c>
      <c r="E999" s="85">
        <v>-0.14148351648351645</v>
      </c>
      <c r="F999">
        <v>36.89</v>
      </c>
    </row>
    <row r="1000" spans="1:6">
      <c r="A1000">
        <v>2351</v>
      </c>
      <c r="B1000" t="s">
        <v>1430</v>
      </c>
      <c r="C1000">
        <v>33.200000000000003</v>
      </c>
      <c r="D1000" t="e">
        <f>VLOOKUP(A1000,收盤價!A:B,3,0)</f>
        <v>#REF!</v>
      </c>
      <c r="E1000" s="85">
        <v>-0.14156626506024103</v>
      </c>
      <c r="F1000">
        <v>36.83</v>
      </c>
    </row>
    <row r="1001" spans="1:6">
      <c r="A1001">
        <v>5905</v>
      </c>
      <c r="B1001" t="s">
        <v>2306</v>
      </c>
      <c r="C1001">
        <v>11.2</v>
      </c>
      <c r="D1001" t="e">
        <f>VLOOKUP(A1001,收盤價!A:B,3,0)</f>
        <v>#REF!</v>
      </c>
      <c r="E1001" s="85">
        <v>-0.14196428571428571</v>
      </c>
      <c r="F1001">
        <v>36.770000000000003</v>
      </c>
    </row>
    <row r="1002" spans="1:6">
      <c r="A1002">
        <v>1727</v>
      </c>
      <c r="B1002" t="s">
        <v>1323</v>
      </c>
      <c r="C1002">
        <v>17.600000000000001</v>
      </c>
      <c r="D1002">
        <f>VLOOKUP(A1002,收盤價!A:C,3,0)</f>
        <v>15.2</v>
      </c>
      <c r="E1002" s="85">
        <v>-0.14204545454545464</v>
      </c>
      <c r="F1002">
        <v>36.700000000000003</v>
      </c>
    </row>
    <row r="1003" spans="1:6">
      <c r="A1003">
        <v>6225</v>
      </c>
      <c r="B1003" t="s">
        <v>1905</v>
      </c>
      <c r="C1003">
        <v>4.29</v>
      </c>
      <c r="D1003" t="e">
        <f>VLOOKUP(A1003,收盤價!A:B,3,0)</f>
        <v>#REF!</v>
      </c>
      <c r="E1003" s="85">
        <v>-0.14219114219114215</v>
      </c>
      <c r="F1003">
        <v>36.64</v>
      </c>
    </row>
    <row r="1004" spans="1:6">
      <c r="A1004">
        <v>6224</v>
      </c>
      <c r="B1004" t="s">
        <v>1904</v>
      </c>
      <c r="C1004">
        <v>76.599999999999994</v>
      </c>
      <c r="D1004" t="e">
        <f>VLOOKUP(A1004,收盤價!A:B,3,0)</f>
        <v>#REF!</v>
      </c>
      <c r="E1004" s="85">
        <v>-0.14229765013054821</v>
      </c>
      <c r="F1004">
        <v>36.58</v>
      </c>
    </row>
    <row r="1005" spans="1:6">
      <c r="A1005">
        <v>9907</v>
      </c>
      <c r="B1005" t="s">
        <v>2007</v>
      </c>
      <c r="C1005">
        <v>19.3</v>
      </c>
      <c r="D1005" t="e">
        <f>VLOOKUP(A1005,收盤價!A:B,3,0)</f>
        <v>#REF!</v>
      </c>
      <c r="E1005" s="85">
        <v>-0.14248704663212436</v>
      </c>
      <c r="F1005">
        <v>36.51</v>
      </c>
    </row>
    <row r="1006" spans="1:6">
      <c r="A1006">
        <v>1597</v>
      </c>
      <c r="B1006" t="s">
        <v>309</v>
      </c>
      <c r="C1006">
        <v>32.5</v>
      </c>
      <c r="D1006">
        <f>VLOOKUP(A1006,收盤價!A:C,3,0)</f>
        <v>27.7</v>
      </c>
      <c r="E1006" s="85">
        <v>-0.14307692307692305</v>
      </c>
      <c r="F1006">
        <v>36.450000000000003</v>
      </c>
    </row>
    <row r="1007" spans="1:6">
      <c r="A1007">
        <v>1417</v>
      </c>
      <c r="B1007" t="s">
        <v>1206</v>
      </c>
      <c r="C1007">
        <v>7.1</v>
      </c>
      <c r="D1007">
        <f>VLOOKUP(A1007,收盤價!A:C,3,0)</f>
        <v>6.11</v>
      </c>
      <c r="E1007" s="85">
        <v>-0.14366197183098586</v>
      </c>
      <c r="F1007">
        <v>36.39</v>
      </c>
    </row>
    <row r="1008" spans="1:6">
      <c r="A1008">
        <v>3551</v>
      </c>
      <c r="B1008" t="s">
        <v>384</v>
      </c>
      <c r="C1008">
        <v>41</v>
      </c>
      <c r="D1008" t="e">
        <f>VLOOKUP(A1008,收盤價!A:B,3,0)</f>
        <v>#REF!</v>
      </c>
      <c r="E1008" s="85">
        <v>-0.14390243902439021</v>
      </c>
      <c r="F1008">
        <v>36.32</v>
      </c>
    </row>
    <row r="1009" spans="1:6">
      <c r="A1009">
        <v>2002</v>
      </c>
      <c r="B1009" t="s">
        <v>1351</v>
      </c>
      <c r="C1009">
        <v>24.65</v>
      </c>
      <c r="D1009">
        <f>VLOOKUP(A1009,收盤價!A:C,3,0)</f>
        <v>20.399999999999999</v>
      </c>
      <c r="E1009" s="85">
        <v>-0.14401622718052728</v>
      </c>
      <c r="F1009">
        <v>36.26</v>
      </c>
    </row>
    <row r="1010" spans="1:6">
      <c r="A1010">
        <v>2705</v>
      </c>
      <c r="B1010" t="s">
        <v>1594</v>
      </c>
      <c r="C1010">
        <v>11.8</v>
      </c>
      <c r="D1010" t="e">
        <f>VLOOKUP(A1010,收盤價!A:B,3,0)</f>
        <v>#REF!</v>
      </c>
      <c r="E1010" s="85">
        <v>-0.14406779661016958</v>
      </c>
      <c r="F1010">
        <v>36.200000000000003</v>
      </c>
    </row>
    <row r="1011" spans="1:6">
      <c r="A1011">
        <v>1215</v>
      </c>
      <c r="B1011" t="s">
        <v>1160</v>
      </c>
      <c r="C1011">
        <v>26</v>
      </c>
      <c r="D1011">
        <f>VLOOKUP(A1011,收盤價!A:C,3,0)</f>
        <v>22</v>
      </c>
      <c r="E1011" s="85">
        <v>-0.14423076923076922</v>
      </c>
      <c r="F1011">
        <v>36.130000000000003</v>
      </c>
    </row>
    <row r="1012" spans="1:6">
      <c r="A1012">
        <v>2399</v>
      </c>
      <c r="B1012" t="s">
        <v>1466</v>
      </c>
      <c r="C1012">
        <v>8.3000000000000007</v>
      </c>
      <c r="D1012" t="e">
        <f>VLOOKUP(A1012,收盤價!A:B,3,0)</f>
        <v>#REF!</v>
      </c>
      <c r="E1012" s="85">
        <v>-0.14457831325301215</v>
      </c>
      <c r="F1012">
        <v>36.07</v>
      </c>
    </row>
    <row r="1013" spans="1:6">
      <c r="A1013">
        <v>2482</v>
      </c>
      <c r="B1013" t="s">
        <v>1529</v>
      </c>
      <c r="C1013">
        <v>16.25</v>
      </c>
      <c r="D1013" t="e">
        <f>VLOOKUP(A1013,收盤價!A:B,3,0)</f>
        <v>#REF!</v>
      </c>
      <c r="E1013" s="85">
        <v>-0.14461538461538459</v>
      </c>
      <c r="F1013">
        <v>36.01</v>
      </c>
    </row>
    <row r="1014" spans="1:6">
      <c r="A1014">
        <v>3432</v>
      </c>
      <c r="B1014" t="s">
        <v>1730</v>
      </c>
      <c r="C1014">
        <v>15.55</v>
      </c>
      <c r="D1014" t="e">
        <f>VLOOKUP(A1014,收盤價!A:B,3,0)</f>
        <v>#REF!</v>
      </c>
      <c r="E1014" s="85">
        <v>-0.14469453376205788</v>
      </c>
      <c r="F1014">
        <v>35.94</v>
      </c>
    </row>
    <row r="1015" spans="1:6">
      <c r="A1015">
        <v>3680</v>
      </c>
      <c r="B1015" t="s">
        <v>2160</v>
      </c>
      <c r="C1015">
        <v>37.65</v>
      </c>
      <c r="D1015" t="e">
        <f>VLOOKUP(A1015,收盤價!A:B,3,0)</f>
        <v>#REF!</v>
      </c>
      <c r="E1015" s="85">
        <v>-0.144754316069057</v>
      </c>
      <c r="F1015">
        <v>35.880000000000003</v>
      </c>
    </row>
    <row r="1016" spans="1:6">
      <c r="A1016">
        <v>8076</v>
      </c>
      <c r="B1016" t="s">
        <v>2398</v>
      </c>
      <c r="C1016">
        <v>116</v>
      </c>
      <c r="D1016" t="e">
        <f>VLOOKUP(A1016,收盤價!A:B,3,0)</f>
        <v>#REF!</v>
      </c>
      <c r="E1016" s="85">
        <v>-0.14482758620689654</v>
      </c>
      <c r="F1016">
        <v>35.82</v>
      </c>
    </row>
    <row r="1017" spans="1:6">
      <c r="A1017">
        <v>3293</v>
      </c>
      <c r="B1017" t="s">
        <v>2107</v>
      </c>
      <c r="C1017">
        <v>105.5</v>
      </c>
      <c r="D1017" t="e">
        <f>VLOOKUP(A1017,收盤價!A:B,3,0)</f>
        <v>#REF!</v>
      </c>
      <c r="E1017" s="85">
        <v>-0.14502369668246443</v>
      </c>
      <c r="F1017">
        <v>35.75</v>
      </c>
    </row>
    <row r="1018" spans="1:6">
      <c r="A1018">
        <v>5484</v>
      </c>
      <c r="B1018" t="s">
        <v>1846</v>
      </c>
      <c r="C1018">
        <v>5.44</v>
      </c>
      <c r="D1018" t="e">
        <f>VLOOKUP(A1018,收盤價!A:B,3,0)</f>
        <v>#REF!</v>
      </c>
      <c r="E1018" s="85">
        <v>-0.1452205882352941</v>
      </c>
      <c r="F1018">
        <v>35.69</v>
      </c>
    </row>
    <row r="1019" spans="1:6">
      <c r="A1019">
        <v>2906</v>
      </c>
      <c r="B1019" t="s">
        <v>1641</v>
      </c>
      <c r="C1019">
        <v>14.45</v>
      </c>
      <c r="D1019" t="e">
        <f>VLOOKUP(A1019,收盤價!A:B,3,0)</f>
        <v>#REF!</v>
      </c>
      <c r="E1019" s="85">
        <v>-0.14532871972318337</v>
      </c>
      <c r="F1019">
        <v>35.630000000000003</v>
      </c>
    </row>
    <row r="1020" spans="1:6">
      <c r="A1020">
        <v>5533</v>
      </c>
      <c r="B1020" t="s">
        <v>1853</v>
      </c>
      <c r="C1020">
        <v>19.95</v>
      </c>
      <c r="D1020" t="e">
        <f>VLOOKUP(A1020,收盤價!A:B,3,0)</f>
        <v>#REF!</v>
      </c>
      <c r="E1020" s="85">
        <v>-0.14536340852130319</v>
      </c>
      <c r="F1020">
        <v>35.57</v>
      </c>
    </row>
    <row r="1021" spans="1:6">
      <c r="A1021">
        <v>3577</v>
      </c>
      <c r="B1021" t="s">
        <v>2146</v>
      </c>
      <c r="C1021">
        <v>37</v>
      </c>
      <c r="D1021" t="e">
        <f>VLOOKUP(A1021,收盤價!A:B,3,0)</f>
        <v>#REF!</v>
      </c>
      <c r="E1021" s="85">
        <v>-0.1459459459459459</v>
      </c>
      <c r="F1021">
        <v>35.5</v>
      </c>
    </row>
    <row r="1022" spans="1:6">
      <c r="A1022">
        <v>2420</v>
      </c>
      <c r="B1022" t="s">
        <v>1480</v>
      </c>
      <c r="C1022">
        <v>44.5</v>
      </c>
      <c r="D1022" t="e">
        <f>VLOOKUP(A1022,收盤價!A:B,3,0)</f>
        <v>#REF!</v>
      </c>
      <c r="E1022" s="85">
        <v>-0.14606741573033707</v>
      </c>
      <c r="F1022">
        <v>35.44</v>
      </c>
    </row>
    <row r="1023" spans="1:6">
      <c r="A1023">
        <v>1708</v>
      </c>
      <c r="B1023" t="s">
        <v>1306</v>
      </c>
      <c r="C1023">
        <v>39.35</v>
      </c>
      <c r="D1023">
        <f>VLOOKUP(A1023,收盤價!A:C,3,0)</f>
        <v>34.65</v>
      </c>
      <c r="E1023" s="85">
        <v>-0.14612452350698857</v>
      </c>
      <c r="F1023">
        <v>35.380000000000003</v>
      </c>
    </row>
    <row r="1024" spans="1:6">
      <c r="A1024">
        <v>3306</v>
      </c>
      <c r="B1024" t="s">
        <v>2108</v>
      </c>
      <c r="C1024">
        <v>30.4</v>
      </c>
      <c r="D1024" t="e">
        <f>VLOOKUP(A1024,收盤價!A:B,3,0)</f>
        <v>#REF!</v>
      </c>
      <c r="E1024" s="85">
        <v>-0.14638157894736842</v>
      </c>
      <c r="F1024">
        <v>35.31</v>
      </c>
    </row>
    <row r="1025" spans="1:6">
      <c r="A1025">
        <v>4711</v>
      </c>
      <c r="B1025" t="s">
        <v>2217</v>
      </c>
      <c r="C1025">
        <v>14</v>
      </c>
      <c r="D1025" t="e">
        <f>VLOOKUP(A1025,收盤價!A:B,3,0)</f>
        <v>#REF!</v>
      </c>
      <c r="E1025" s="85">
        <v>-0.14642857142857149</v>
      </c>
      <c r="F1025">
        <v>35.25</v>
      </c>
    </row>
    <row r="1026" spans="1:6">
      <c r="A1026">
        <v>1535</v>
      </c>
      <c r="B1026" t="s">
        <v>1273</v>
      </c>
      <c r="C1026">
        <v>72.900000000000006</v>
      </c>
      <c r="D1026">
        <f>VLOOKUP(A1026,收盤價!A:C,3,0)</f>
        <v>60.9</v>
      </c>
      <c r="E1026" s="85">
        <v>-0.14677640603566533</v>
      </c>
      <c r="F1026">
        <v>35.19</v>
      </c>
    </row>
    <row r="1027" spans="1:6">
      <c r="A1027">
        <v>3163</v>
      </c>
      <c r="B1027" t="s">
        <v>336</v>
      </c>
      <c r="C1027">
        <v>47.6</v>
      </c>
      <c r="D1027" t="e">
        <f>VLOOKUP(A1027,收盤價!A:B,3,0)</f>
        <v>#REF!</v>
      </c>
      <c r="E1027" s="85">
        <v>-0.14705882352941177</v>
      </c>
      <c r="F1027">
        <v>35.119999999999997</v>
      </c>
    </row>
    <row r="1028" spans="1:6">
      <c r="A1028">
        <v>2823</v>
      </c>
      <c r="B1028" t="s">
        <v>1607</v>
      </c>
      <c r="C1028">
        <v>31.6</v>
      </c>
      <c r="D1028" t="e">
        <f>VLOOKUP(A1028,收盤價!A:B,3,0)</f>
        <v>#REF!</v>
      </c>
      <c r="E1028" s="85">
        <v>-0.14715189873417728</v>
      </c>
      <c r="F1028">
        <v>35.06</v>
      </c>
    </row>
    <row r="1029" spans="1:6">
      <c r="A1029">
        <v>1471</v>
      </c>
      <c r="B1029" t="s">
        <v>1243</v>
      </c>
      <c r="C1029">
        <v>5.57</v>
      </c>
      <c r="D1029">
        <f>VLOOKUP(A1029,收盤價!A:C,3,0)</f>
        <v>4.8600000000000003</v>
      </c>
      <c r="E1029" s="85">
        <v>-0.1472172351885099</v>
      </c>
      <c r="F1029">
        <v>35</v>
      </c>
    </row>
    <row r="1030" spans="1:6">
      <c r="A1030">
        <v>1506</v>
      </c>
      <c r="B1030" t="s">
        <v>1252</v>
      </c>
      <c r="C1030">
        <v>19</v>
      </c>
      <c r="D1030">
        <f>VLOOKUP(A1030,收盤價!A:C,3,0)</f>
        <v>15.85</v>
      </c>
      <c r="E1030" s="85">
        <v>-0.14736842105263162</v>
      </c>
      <c r="F1030">
        <v>34.93</v>
      </c>
    </row>
    <row r="1031" spans="1:6">
      <c r="A1031">
        <v>8926</v>
      </c>
      <c r="B1031" t="s">
        <v>1976</v>
      </c>
      <c r="C1031">
        <v>26.8</v>
      </c>
      <c r="D1031" t="e">
        <f>VLOOKUP(A1031,收盤價!A:B,3,0)</f>
        <v>#REF!</v>
      </c>
      <c r="E1031" s="85">
        <v>-0.14738805970149252</v>
      </c>
      <c r="F1031">
        <v>34.869999999999997</v>
      </c>
    </row>
    <row r="1032" spans="1:6">
      <c r="A1032">
        <v>3297</v>
      </c>
      <c r="B1032" t="s">
        <v>356</v>
      </c>
      <c r="C1032">
        <v>21.7</v>
      </c>
      <c r="D1032" t="e">
        <f>VLOOKUP(A1032,收盤價!A:B,3,0)</f>
        <v>#REF!</v>
      </c>
      <c r="E1032" s="85">
        <v>-0.14746543778801841</v>
      </c>
      <c r="F1032">
        <v>34.81</v>
      </c>
    </row>
    <row r="1033" spans="1:6">
      <c r="A1033">
        <v>6203</v>
      </c>
      <c r="B1033" t="s">
        <v>511</v>
      </c>
      <c r="C1033">
        <v>36.6</v>
      </c>
      <c r="D1033" t="e">
        <f>VLOOKUP(A1033,收盤價!A:B,3,0)</f>
        <v>#REF!</v>
      </c>
      <c r="E1033" s="85">
        <v>-0.14754098360655743</v>
      </c>
      <c r="F1033">
        <v>34.74</v>
      </c>
    </row>
    <row r="1034" spans="1:6">
      <c r="A1034">
        <v>2356</v>
      </c>
      <c r="B1034" t="s">
        <v>1435</v>
      </c>
      <c r="C1034">
        <v>21.35</v>
      </c>
      <c r="D1034" t="e">
        <f>VLOOKUP(A1034,收盤價!A:B,3,0)</f>
        <v>#REF!</v>
      </c>
      <c r="E1034" s="85">
        <v>-0.14754098360655746</v>
      </c>
      <c r="F1034">
        <v>34.68</v>
      </c>
    </row>
    <row r="1035" spans="1:6">
      <c r="A1035">
        <v>2534</v>
      </c>
      <c r="B1035" t="s">
        <v>1558</v>
      </c>
      <c r="C1035">
        <v>18.600000000000001</v>
      </c>
      <c r="D1035" t="e">
        <f>VLOOKUP(A1035,收盤價!A:B,3,0)</f>
        <v>#REF!</v>
      </c>
      <c r="E1035" s="85">
        <v>-0.14784946236559149</v>
      </c>
      <c r="F1035">
        <v>34.619999999999997</v>
      </c>
    </row>
    <row r="1036" spans="1:6">
      <c r="A1036">
        <v>5608</v>
      </c>
      <c r="B1036" t="s">
        <v>1857</v>
      </c>
      <c r="C1036">
        <v>15.85</v>
      </c>
      <c r="D1036" t="e">
        <f>VLOOKUP(A1036,收盤價!A:B,3,0)</f>
        <v>#REF!</v>
      </c>
      <c r="E1036" s="85">
        <v>-0.14826498422712933</v>
      </c>
      <c r="F1036">
        <v>34.549999999999997</v>
      </c>
    </row>
    <row r="1037" spans="1:6">
      <c r="A1037">
        <v>4903</v>
      </c>
      <c r="B1037" t="s">
        <v>2225</v>
      </c>
      <c r="C1037">
        <v>11.8</v>
      </c>
      <c r="D1037" t="e">
        <f>VLOOKUP(A1037,收盤價!A:B,3,0)</f>
        <v>#REF!</v>
      </c>
      <c r="E1037" s="85">
        <v>-0.14830508474576271</v>
      </c>
      <c r="F1037">
        <v>34.49</v>
      </c>
    </row>
    <row r="1038" spans="1:6">
      <c r="A1038">
        <v>4974</v>
      </c>
      <c r="B1038" t="s">
        <v>441</v>
      </c>
      <c r="C1038">
        <v>45.5</v>
      </c>
      <c r="D1038" t="e">
        <f>VLOOKUP(A1038,收盤價!A:B,3,0)</f>
        <v>#REF!</v>
      </c>
      <c r="E1038" s="85">
        <v>-0.14835164835164835</v>
      </c>
      <c r="F1038">
        <v>34.43</v>
      </c>
    </row>
    <row r="1039" spans="1:6">
      <c r="A1039">
        <v>4127</v>
      </c>
      <c r="B1039" t="s">
        <v>2174</v>
      </c>
      <c r="C1039">
        <v>27.3</v>
      </c>
      <c r="D1039" t="e">
        <f>VLOOKUP(A1039,收盤價!A:B,3,0)</f>
        <v>#REF!</v>
      </c>
      <c r="E1039" s="85">
        <v>-0.14835164835164838</v>
      </c>
      <c r="F1039">
        <v>34.369999999999997</v>
      </c>
    </row>
    <row r="1040" spans="1:6">
      <c r="A1040">
        <v>3594</v>
      </c>
      <c r="B1040" t="s">
        <v>390</v>
      </c>
      <c r="C1040">
        <v>32.9</v>
      </c>
      <c r="D1040" t="e">
        <f>VLOOKUP(A1040,收盤價!A:B,3,0)</f>
        <v>#REF!</v>
      </c>
      <c r="E1040" s="85">
        <v>-0.14893617021276592</v>
      </c>
      <c r="F1040">
        <v>34.299999999999997</v>
      </c>
    </row>
    <row r="1041" spans="1:6">
      <c r="A1041">
        <v>5493</v>
      </c>
      <c r="B1041" t="s">
        <v>2290</v>
      </c>
      <c r="C1041">
        <v>35.25</v>
      </c>
      <c r="D1041" t="e">
        <f>VLOOKUP(A1041,收盤價!A:B,3,0)</f>
        <v>#REF!</v>
      </c>
      <c r="E1041" s="85">
        <v>-0.14893617021276595</v>
      </c>
      <c r="F1041">
        <v>34.24</v>
      </c>
    </row>
    <row r="1042" spans="1:6">
      <c r="A1042">
        <v>8121</v>
      </c>
      <c r="B1042" t="s">
        <v>2411</v>
      </c>
      <c r="C1042">
        <v>18.100000000000001</v>
      </c>
      <c r="D1042" t="e">
        <f>VLOOKUP(A1042,收盤價!A:B,3,0)</f>
        <v>#REF!</v>
      </c>
      <c r="E1042" s="85">
        <v>-0.14917127071823208</v>
      </c>
      <c r="F1042">
        <v>34.18</v>
      </c>
    </row>
    <row r="1043" spans="1:6">
      <c r="A1043">
        <v>8171</v>
      </c>
      <c r="B1043" t="s">
        <v>2414</v>
      </c>
      <c r="C1043">
        <v>9.9</v>
      </c>
      <c r="D1043" t="e">
        <f>VLOOKUP(A1043,收盤價!A:B,3,0)</f>
        <v>#REF!</v>
      </c>
      <c r="E1043" s="85">
        <v>-0.14949494949494954</v>
      </c>
      <c r="F1043">
        <v>34.11</v>
      </c>
    </row>
    <row r="1044" spans="1:6">
      <c r="A1044">
        <v>1454</v>
      </c>
      <c r="B1044" t="s">
        <v>1229</v>
      </c>
      <c r="C1044">
        <v>12.35</v>
      </c>
      <c r="D1044">
        <f>VLOOKUP(A1044,收盤價!A:C,3,0)</f>
        <v>10.45</v>
      </c>
      <c r="E1044" s="85">
        <v>-0.1497975708502024</v>
      </c>
      <c r="F1044">
        <v>34.049999999999997</v>
      </c>
    </row>
    <row r="1045" spans="1:6">
      <c r="A1045">
        <v>1449</v>
      </c>
      <c r="B1045" t="s">
        <v>1225</v>
      </c>
      <c r="C1045">
        <v>8</v>
      </c>
      <c r="D1045">
        <f>VLOOKUP(A1045,收盤價!A:C,3,0)</f>
        <v>7.79</v>
      </c>
      <c r="E1045" s="85">
        <v>-0.15000000000000002</v>
      </c>
      <c r="F1045">
        <v>33.99</v>
      </c>
    </row>
    <row r="1046" spans="1:6">
      <c r="A1046">
        <v>2915</v>
      </c>
      <c r="B1046" t="s">
        <v>1647</v>
      </c>
      <c r="C1046">
        <v>70.599999999999994</v>
      </c>
      <c r="D1046" t="e">
        <f>VLOOKUP(A1046,收盤價!A:B,3,0)</f>
        <v>#REF!</v>
      </c>
      <c r="E1046" s="85">
        <v>-0.15014164305949002</v>
      </c>
      <c r="F1046">
        <v>33.92</v>
      </c>
    </row>
    <row r="1047" spans="1:6">
      <c r="A1047">
        <v>8070</v>
      </c>
      <c r="B1047" t="s">
        <v>1946</v>
      </c>
      <c r="C1047">
        <v>96.8</v>
      </c>
      <c r="D1047" t="e">
        <f>VLOOKUP(A1047,收盤價!A:B,3,0)</f>
        <v>#REF!</v>
      </c>
      <c r="E1047" s="85">
        <v>-0.15082644628099168</v>
      </c>
      <c r="F1047">
        <v>33.86</v>
      </c>
    </row>
    <row r="1048" spans="1:6">
      <c r="A1048">
        <v>8234</v>
      </c>
      <c r="B1048" t="s">
        <v>554</v>
      </c>
      <c r="C1048">
        <v>33.450000000000003</v>
      </c>
      <c r="D1048" t="e">
        <f>VLOOKUP(A1048,收盤價!A:B,3,0)</f>
        <v>#REF!</v>
      </c>
      <c r="E1048" s="85">
        <v>-0.15097159940209279</v>
      </c>
      <c r="F1048">
        <v>33.799999999999997</v>
      </c>
    </row>
    <row r="1049" spans="1:6">
      <c r="A1049">
        <v>4180</v>
      </c>
      <c r="B1049" t="s">
        <v>2186</v>
      </c>
      <c r="C1049">
        <v>208.5</v>
      </c>
      <c r="D1049" t="e">
        <f>VLOOKUP(A1049,收盤價!A:B,3,0)</f>
        <v>#REF!</v>
      </c>
      <c r="E1049" s="85">
        <v>-0.15107913669064749</v>
      </c>
      <c r="F1049">
        <v>33.729999999999997</v>
      </c>
    </row>
    <row r="1050" spans="1:6">
      <c r="A1050">
        <v>3086</v>
      </c>
      <c r="B1050" t="s">
        <v>2078</v>
      </c>
      <c r="C1050">
        <v>14.55</v>
      </c>
      <c r="D1050" t="e">
        <f>VLOOKUP(A1050,收盤價!A:B,3,0)</f>
        <v>#REF!</v>
      </c>
      <c r="E1050" s="85">
        <v>-0.15120274914089354</v>
      </c>
      <c r="F1050">
        <v>33.67</v>
      </c>
    </row>
    <row r="1051" spans="1:6">
      <c r="A1051">
        <v>6283</v>
      </c>
      <c r="B1051" t="s">
        <v>1919</v>
      </c>
      <c r="C1051">
        <v>5.75</v>
      </c>
      <c r="D1051" t="e">
        <f>VLOOKUP(A1051,收盤價!A:B,3,0)</f>
        <v>#REF!</v>
      </c>
      <c r="E1051" s="85">
        <v>-0.15130434782608698</v>
      </c>
      <c r="F1051">
        <v>33.61</v>
      </c>
    </row>
    <row r="1052" spans="1:6">
      <c r="A1052">
        <v>9110</v>
      </c>
      <c r="B1052" t="s">
        <v>1987</v>
      </c>
      <c r="C1052">
        <v>4.75</v>
      </c>
      <c r="D1052" t="e">
        <f>VLOOKUP(A1052,收盤價!A:B,3,0)</f>
        <v>#REF!</v>
      </c>
      <c r="E1052" s="85">
        <v>-0.15157894736842101</v>
      </c>
      <c r="F1052">
        <v>33.54</v>
      </c>
    </row>
    <row r="1053" spans="1:6">
      <c r="A1053">
        <v>911868</v>
      </c>
      <c r="B1053" t="s">
        <v>1995</v>
      </c>
      <c r="C1053">
        <v>2.77</v>
      </c>
      <c r="D1053" t="e">
        <f>VLOOKUP(A1053,收盤價!A:B,3,0)</f>
        <v>#REF!</v>
      </c>
      <c r="E1053" s="85">
        <v>-0.15162454873646206</v>
      </c>
      <c r="F1053">
        <v>33.479999999999997</v>
      </c>
    </row>
    <row r="1054" spans="1:6">
      <c r="A1054">
        <v>2611</v>
      </c>
      <c r="B1054" t="s">
        <v>1580</v>
      </c>
      <c r="C1054">
        <v>9.43</v>
      </c>
      <c r="D1054" t="e">
        <f>VLOOKUP(A1054,收盤價!A:B,3,0)</f>
        <v>#REF!</v>
      </c>
      <c r="E1054" s="85">
        <v>-0.15164369034994696</v>
      </c>
      <c r="F1054">
        <v>33.42</v>
      </c>
    </row>
    <row r="1055" spans="1:6">
      <c r="A1055">
        <v>3149</v>
      </c>
      <c r="B1055" t="s">
        <v>1706</v>
      </c>
      <c r="C1055">
        <v>16.7</v>
      </c>
      <c r="D1055" t="e">
        <f>VLOOKUP(A1055,收盤價!A:B,3,0)</f>
        <v>#REF!</v>
      </c>
      <c r="E1055" s="85">
        <v>-0.15269461077844307</v>
      </c>
      <c r="F1055">
        <v>33.35</v>
      </c>
    </row>
    <row r="1056" spans="1:6">
      <c r="A1056">
        <v>5009</v>
      </c>
      <c r="B1056" t="s">
        <v>443</v>
      </c>
      <c r="C1056">
        <v>20.95</v>
      </c>
      <c r="D1056" t="e">
        <f>VLOOKUP(A1056,收盤價!A:B,3,0)</f>
        <v>#REF!</v>
      </c>
      <c r="E1056" s="85">
        <v>-0.15274463007159902</v>
      </c>
      <c r="F1056">
        <v>33.29</v>
      </c>
    </row>
    <row r="1057" spans="1:6">
      <c r="A1057">
        <v>4743</v>
      </c>
      <c r="B1057" t="s">
        <v>2222</v>
      </c>
      <c r="C1057">
        <v>41.8</v>
      </c>
      <c r="D1057" t="e">
        <f>VLOOKUP(A1057,收盤價!A:B,3,0)</f>
        <v>#REF!</v>
      </c>
      <c r="E1057" s="85">
        <v>-0.15311004784688992</v>
      </c>
      <c r="F1057">
        <v>33.229999999999997</v>
      </c>
    </row>
    <row r="1058" spans="1:6">
      <c r="A1058">
        <v>2393</v>
      </c>
      <c r="B1058" t="s">
        <v>1463</v>
      </c>
      <c r="C1058">
        <v>59.2</v>
      </c>
      <c r="D1058" t="e">
        <f>VLOOKUP(A1058,收盤價!A:B,3,0)</f>
        <v>#REF!</v>
      </c>
      <c r="E1058" s="85">
        <v>-0.15371621621621623</v>
      </c>
      <c r="F1058">
        <v>33.159999999999997</v>
      </c>
    </row>
    <row r="1059" spans="1:6">
      <c r="A1059">
        <v>4950</v>
      </c>
      <c r="B1059" t="s">
        <v>439</v>
      </c>
      <c r="C1059">
        <v>23.05</v>
      </c>
      <c r="D1059" t="e">
        <f>VLOOKUP(A1059,收盤價!A:B,3,0)</f>
        <v>#REF!</v>
      </c>
      <c r="E1059" s="85">
        <v>-0.15401301518438182</v>
      </c>
      <c r="F1059">
        <v>33.1</v>
      </c>
    </row>
    <row r="1060" spans="1:6">
      <c r="A1060">
        <v>1540</v>
      </c>
      <c r="B1060" t="s">
        <v>1278</v>
      </c>
      <c r="C1060">
        <v>20.399999999999999</v>
      </c>
      <c r="D1060">
        <f>VLOOKUP(A1060,收盤價!A:C,3,0)</f>
        <v>17.149999999999999</v>
      </c>
      <c r="E1060" s="85">
        <v>-0.1544117647058823</v>
      </c>
      <c r="F1060">
        <v>33.04</v>
      </c>
    </row>
    <row r="1061" spans="1:6">
      <c r="A1061">
        <v>4958</v>
      </c>
      <c r="B1061" t="s">
        <v>1823</v>
      </c>
      <c r="C1061">
        <v>108</v>
      </c>
      <c r="D1061" t="e">
        <f>VLOOKUP(A1061,收盤價!A:B,3,0)</f>
        <v>#REF!</v>
      </c>
      <c r="E1061" s="85">
        <v>-0.15462962962962964</v>
      </c>
      <c r="F1061">
        <v>32.979999999999997</v>
      </c>
    </row>
    <row r="1062" spans="1:6">
      <c r="A1062">
        <v>2458</v>
      </c>
      <c r="B1062" t="s">
        <v>1511</v>
      </c>
      <c r="C1062">
        <v>43</v>
      </c>
      <c r="D1062" t="e">
        <f>VLOOKUP(A1062,收盤價!A:B,3,0)</f>
        <v>#REF!</v>
      </c>
      <c r="E1062" s="85">
        <v>-0.15465116279069765</v>
      </c>
      <c r="F1062">
        <v>32.909999999999997</v>
      </c>
    </row>
    <row r="1063" spans="1:6">
      <c r="A1063">
        <v>6021</v>
      </c>
      <c r="B1063" t="s">
        <v>493</v>
      </c>
      <c r="C1063">
        <v>13.2</v>
      </c>
      <c r="D1063" t="e">
        <f>VLOOKUP(A1063,收盤價!A:B,3,0)</f>
        <v>#REF!</v>
      </c>
      <c r="E1063" s="85">
        <v>-0.15530303030303022</v>
      </c>
      <c r="F1063">
        <v>32.85</v>
      </c>
    </row>
    <row r="1064" spans="1:6">
      <c r="A1064">
        <v>5347</v>
      </c>
      <c r="B1064" t="s">
        <v>465</v>
      </c>
      <c r="C1064">
        <v>49.4</v>
      </c>
      <c r="D1064" t="e">
        <f>VLOOKUP(A1064,收盤價!A:B,3,0)</f>
        <v>#REF!</v>
      </c>
      <c r="E1064" s="85">
        <v>-0.15688259109311742</v>
      </c>
      <c r="F1064">
        <v>32.79</v>
      </c>
    </row>
    <row r="1065" spans="1:6">
      <c r="A1065">
        <v>6185</v>
      </c>
      <c r="B1065" t="s">
        <v>2342</v>
      </c>
      <c r="C1065">
        <v>26.1</v>
      </c>
      <c r="D1065" t="e">
        <f>VLOOKUP(A1065,收盤價!A:B,3,0)</f>
        <v>#REF!</v>
      </c>
      <c r="E1065" s="85">
        <v>-0.15708812260536403</v>
      </c>
      <c r="F1065">
        <v>32.72</v>
      </c>
    </row>
    <row r="1066" spans="1:6">
      <c r="A1066">
        <v>9911</v>
      </c>
      <c r="B1066" t="s">
        <v>2010</v>
      </c>
      <c r="C1066">
        <v>21</v>
      </c>
      <c r="D1066" t="e">
        <f>VLOOKUP(A1066,收盤價!A:B,3,0)</f>
        <v>#REF!</v>
      </c>
      <c r="E1066" s="85">
        <v>-0.15714285714285717</v>
      </c>
      <c r="F1066">
        <v>32.659999999999997</v>
      </c>
    </row>
    <row r="1067" spans="1:6">
      <c r="A1067">
        <v>2008</v>
      </c>
      <c r="B1067" t="s">
        <v>1355</v>
      </c>
      <c r="C1067">
        <v>9.73</v>
      </c>
      <c r="D1067">
        <f>VLOOKUP(A1067,收盤價!A:C,3,0)</f>
        <v>8.1999999999999993</v>
      </c>
      <c r="E1067" s="85">
        <v>-0.15724563206577605</v>
      </c>
      <c r="F1067">
        <v>32.6</v>
      </c>
    </row>
    <row r="1068" spans="1:6">
      <c r="A1068">
        <v>1414</v>
      </c>
      <c r="B1068" t="s">
        <v>1204</v>
      </c>
      <c r="C1068">
        <v>8.14</v>
      </c>
      <c r="D1068">
        <f>VLOOKUP(A1068,收盤價!A:C,3,0)</f>
        <v>6.9</v>
      </c>
      <c r="E1068" s="85">
        <v>-0.15724815724815727</v>
      </c>
      <c r="F1068">
        <v>32.53</v>
      </c>
    </row>
    <row r="1069" spans="1:6">
      <c r="A1069">
        <v>9930</v>
      </c>
      <c r="B1069" t="s">
        <v>2023</v>
      </c>
      <c r="C1069">
        <v>76.900000000000006</v>
      </c>
      <c r="D1069" t="e">
        <f>VLOOKUP(A1069,收盤價!A:B,3,0)</f>
        <v>#REF!</v>
      </c>
      <c r="E1069" s="85">
        <v>-0.15734720416124848</v>
      </c>
      <c r="F1069">
        <v>32.47</v>
      </c>
    </row>
    <row r="1070" spans="1:6">
      <c r="A1070">
        <v>4429</v>
      </c>
      <c r="B1070" t="s">
        <v>421</v>
      </c>
      <c r="C1070">
        <v>27.9</v>
      </c>
      <c r="D1070" t="e">
        <f>VLOOKUP(A1070,收盤價!A:B,3,0)</f>
        <v>#REF!</v>
      </c>
      <c r="E1070" s="85">
        <v>-0.15770609318996412</v>
      </c>
      <c r="F1070">
        <v>32.409999999999997</v>
      </c>
    </row>
    <row r="1071" spans="1:6">
      <c r="A1071">
        <v>8201</v>
      </c>
      <c r="B1071" t="s">
        <v>1958</v>
      </c>
      <c r="C1071">
        <v>9.32</v>
      </c>
      <c r="D1071" t="e">
        <f>VLOOKUP(A1071,收盤價!A:B,3,0)</f>
        <v>#REF!</v>
      </c>
      <c r="E1071" s="85">
        <v>-0.15772532188841207</v>
      </c>
      <c r="F1071">
        <v>32.340000000000003</v>
      </c>
    </row>
    <row r="1072" spans="1:6">
      <c r="A1072">
        <v>3094</v>
      </c>
      <c r="B1072" t="s">
        <v>1704</v>
      </c>
      <c r="C1072">
        <v>27.55</v>
      </c>
      <c r="D1072" t="e">
        <f>VLOOKUP(A1072,收盤價!A:B,3,0)</f>
        <v>#REF!</v>
      </c>
      <c r="E1072" s="85">
        <v>-0.15789473684210531</v>
      </c>
      <c r="F1072">
        <v>32.28</v>
      </c>
    </row>
    <row r="1073" spans="1:6">
      <c r="A1073">
        <v>2437</v>
      </c>
      <c r="B1073" t="s">
        <v>1494</v>
      </c>
      <c r="C1073">
        <v>58.8</v>
      </c>
      <c r="D1073" t="e">
        <f>VLOOKUP(A1073,收盤價!A:B,3,0)</f>
        <v>#REF!</v>
      </c>
      <c r="E1073" s="85">
        <v>-0.1581632653061224</v>
      </c>
      <c r="F1073">
        <v>32.22</v>
      </c>
    </row>
    <row r="1074" spans="1:6">
      <c r="A1074">
        <v>2543</v>
      </c>
      <c r="B1074" t="s">
        <v>1566</v>
      </c>
      <c r="C1074">
        <v>9.85</v>
      </c>
      <c r="D1074" t="e">
        <f>VLOOKUP(A1074,收盤價!A:B,3,0)</f>
        <v>#REF!</v>
      </c>
      <c r="E1074" s="85">
        <v>-0.15837563451776657</v>
      </c>
      <c r="F1074">
        <v>32.15</v>
      </c>
    </row>
    <row r="1075" spans="1:6">
      <c r="A1075">
        <v>5425</v>
      </c>
      <c r="B1075" t="s">
        <v>471</v>
      </c>
      <c r="C1075">
        <v>29.95</v>
      </c>
      <c r="D1075" t="e">
        <f>VLOOKUP(A1075,收盤價!A:B,3,0)</f>
        <v>#REF!</v>
      </c>
      <c r="E1075" s="85">
        <v>-0.15859766277128548</v>
      </c>
      <c r="F1075">
        <v>32.090000000000003</v>
      </c>
    </row>
    <row r="1076" spans="1:6">
      <c r="A1076">
        <v>3450</v>
      </c>
      <c r="B1076" t="s">
        <v>1733</v>
      </c>
      <c r="C1076">
        <v>163.5</v>
      </c>
      <c r="D1076" t="e">
        <f>VLOOKUP(A1076,收盤價!A:B,3,0)</f>
        <v>#REF!</v>
      </c>
      <c r="E1076" s="85">
        <v>-0.15902140672782875</v>
      </c>
      <c r="F1076">
        <v>32.03</v>
      </c>
    </row>
    <row r="1077" spans="1:6">
      <c r="A1077">
        <v>1231</v>
      </c>
      <c r="B1077" t="s">
        <v>1169</v>
      </c>
      <c r="C1077">
        <v>32</v>
      </c>
      <c r="D1077">
        <f>VLOOKUP(A1077,收盤價!A:C,3,0)</f>
        <v>27.9</v>
      </c>
      <c r="E1077" s="85">
        <v>-0.15937500000000004</v>
      </c>
      <c r="F1077">
        <v>31.96</v>
      </c>
    </row>
    <row r="1078" spans="1:6">
      <c r="A1078">
        <v>8088</v>
      </c>
      <c r="B1078" t="s">
        <v>552</v>
      </c>
      <c r="C1078">
        <v>18.5</v>
      </c>
      <c r="D1078" t="e">
        <f>VLOOKUP(A1078,收盤價!A:B,3,0)</f>
        <v>#REF!</v>
      </c>
      <c r="E1078" s="85">
        <v>-0.15945945945945941</v>
      </c>
      <c r="F1078">
        <v>31.9</v>
      </c>
    </row>
    <row r="1079" spans="1:6">
      <c r="A1079">
        <v>5475</v>
      </c>
      <c r="B1079" t="s">
        <v>2283</v>
      </c>
      <c r="C1079">
        <v>5.01</v>
      </c>
      <c r="D1079" t="e">
        <f>VLOOKUP(A1079,收盤價!A:B,3,0)</f>
        <v>#REF!</v>
      </c>
      <c r="E1079" s="85">
        <v>-0.15968063872255486</v>
      </c>
      <c r="F1079">
        <v>31.84</v>
      </c>
    </row>
    <row r="1080" spans="1:6">
      <c r="A1080">
        <v>3609</v>
      </c>
      <c r="B1080" t="s">
        <v>391</v>
      </c>
      <c r="C1080">
        <v>15.3</v>
      </c>
      <c r="D1080" t="e">
        <f>VLOOKUP(A1080,收盤價!A:B,3,0)</f>
        <v>#REF!</v>
      </c>
      <c r="E1080" s="85">
        <v>-0.16013071895424844</v>
      </c>
      <c r="F1080">
        <v>31.78</v>
      </c>
    </row>
    <row r="1081" spans="1:6">
      <c r="A1081">
        <v>2474</v>
      </c>
      <c r="B1081" t="s">
        <v>1522</v>
      </c>
      <c r="C1081">
        <v>386</v>
      </c>
      <c r="D1081" t="e">
        <f>VLOOKUP(A1081,收盤價!A:B,3,0)</f>
        <v>#REF!</v>
      </c>
      <c r="E1081" s="85">
        <v>-0.16062176165803108</v>
      </c>
      <c r="F1081">
        <v>31.71</v>
      </c>
    </row>
    <row r="1082" spans="1:6">
      <c r="A1082">
        <v>2371</v>
      </c>
      <c r="B1082" t="s">
        <v>1448</v>
      </c>
      <c r="C1082">
        <v>6.9</v>
      </c>
      <c r="D1082" t="e">
        <f>VLOOKUP(A1082,收盤價!A:B,3,0)</f>
        <v>#REF!</v>
      </c>
      <c r="E1082" s="85">
        <v>-0.16086956521739135</v>
      </c>
      <c r="F1082">
        <v>31.65</v>
      </c>
    </row>
    <row r="1083" spans="1:6">
      <c r="A1083">
        <v>3028</v>
      </c>
      <c r="B1083" t="s">
        <v>1671</v>
      </c>
      <c r="C1083">
        <v>18.95</v>
      </c>
      <c r="D1083" t="e">
        <f>VLOOKUP(A1083,收盤價!A:B,3,0)</f>
        <v>#REF!</v>
      </c>
      <c r="E1083" s="85">
        <v>-0.16094986807387857</v>
      </c>
      <c r="F1083">
        <v>31.59</v>
      </c>
    </row>
    <row r="1084" spans="1:6">
      <c r="A1084">
        <v>2233</v>
      </c>
      <c r="B1084" t="s">
        <v>320</v>
      </c>
      <c r="C1084">
        <v>74.5</v>
      </c>
      <c r="D1084">
        <f>VLOOKUP(A1084,收盤價!A:C,3,0)</f>
        <v>60.9</v>
      </c>
      <c r="E1084" s="85">
        <v>-0.16107382550335569</v>
      </c>
      <c r="F1084">
        <v>31.52</v>
      </c>
    </row>
    <row r="1085" spans="1:6">
      <c r="A1085">
        <v>4909</v>
      </c>
      <c r="B1085" t="s">
        <v>435</v>
      </c>
      <c r="C1085">
        <v>24.8</v>
      </c>
      <c r="D1085" t="e">
        <f>VLOOKUP(A1085,收盤價!A:B,3,0)</f>
        <v>#REF!</v>
      </c>
      <c r="E1085" s="85">
        <v>-0.16129032258064516</v>
      </c>
      <c r="F1085">
        <v>31.46</v>
      </c>
    </row>
    <row r="1086" spans="1:6">
      <c r="A1086">
        <v>2892</v>
      </c>
      <c r="B1086" t="s">
        <v>1636</v>
      </c>
      <c r="C1086">
        <v>18.899999999999999</v>
      </c>
      <c r="D1086" t="e">
        <f>VLOOKUP(A1086,收盤價!A:B,3,0)</f>
        <v>#REF!</v>
      </c>
      <c r="E1086" s="85">
        <v>-0.16137566137566134</v>
      </c>
      <c r="F1086">
        <v>31.4</v>
      </c>
    </row>
    <row r="1087" spans="1:6">
      <c r="A1087">
        <v>5878</v>
      </c>
      <c r="B1087" t="s">
        <v>489</v>
      </c>
      <c r="C1087">
        <v>57</v>
      </c>
      <c r="D1087" t="e">
        <f>VLOOKUP(A1087,收盤價!A:B,3,0)</f>
        <v>#REF!</v>
      </c>
      <c r="E1087" s="85">
        <v>-0.16140350877192988</v>
      </c>
      <c r="F1087">
        <v>31.33</v>
      </c>
    </row>
    <row r="1088" spans="1:6">
      <c r="A1088">
        <v>5243</v>
      </c>
      <c r="B1088" t="s">
        <v>1835</v>
      </c>
      <c r="C1088">
        <v>35</v>
      </c>
      <c r="D1088" t="e">
        <f>VLOOKUP(A1088,收盤價!A:B,3,0)</f>
        <v>#REF!</v>
      </c>
      <c r="E1088" s="85">
        <v>-0.16142857142857139</v>
      </c>
      <c r="F1088">
        <v>31.27</v>
      </c>
    </row>
    <row r="1089" spans="1:6">
      <c r="A1089">
        <v>3591</v>
      </c>
      <c r="B1089" t="s">
        <v>1759</v>
      </c>
      <c r="C1089">
        <v>22.6</v>
      </c>
      <c r="D1089" t="e">
        <f>VLOOKUP(A1089,收盤價!A:B,3,0)</f>
        <v>#REF!</v>
      </c>
      <c r="E1089" s="85">
        <v>-0.16150442477876115</v>
      </c>
      <c r="F1089">
        <v>31.21</v>
      </c>
    </row>
    <row r="1090" spans="1:6">
      <c r="A1090">
        <v>8404</v>
      </c>
      <c r="B1090" t="s">
        <v>1968</v>
      </c>
      <c r="C1090">
        <v>30.9</v>
      </c>
      <c r="D1090" t="e">
        <f>VLOOKUP(A1090,收盤價!A:B,3,0)</f>
        <v>#REF!</v>
      </c>
      <c r="E1090" s="85">
        <v>-0.16181229773462785</v>
      </c>
      <c r="F1090">
        <v>31.14</v>
      </c>
    </row>
    <row r="1091" spans="1:6">
      <c r="A1091">
        <v>3550</v>
      </c>
      <c r="B1091" t="s">
        <v>1749</v>
      </c>
      <c r="C1091">
        <v>13.9</v>
      </c>
      <c r="D1091" t="e">
        <f>VLOOKUP(A1091,收盤價!A:B,3,0)</f>
        <v>#REF!</v>
      </c>
      <c r="E1091" s="85">
        <v>-0.16187050359712229</v>
      </c>
      <c r="F1091">
        <v>31.08</v>
      </c>
    </row>
    <row r="1092" spans="1:6">
      <c r="A1092">
        <v>1312</v>
      </c>
      <c r="B1092" t="s">
        <v>1184</v>
      </c>
      <c r="C1092">
        <v>19.75</v>
      </c>
      <c r="D1092">
        <f>VLOOKUP(A1092,收盤價!A:C,3,0)</f>
        <v>15.55</v>
      </c>
      <c r="E1092" s="85">
        <v>-0.16202531645569618</v>
      </c>
      <c r="F1092">
        <v>31.02</v>
      </c>
    </row>
    <row r="1093" spans="1:6">
      <c r="A1093">
        <v>6120</v>
      </c>
      <c r="B1093" t="s">
        <v>1869</v>
      </c>
      <c r="C1093">
        <v>15.35</v>
      </c>
      <c r="D1093" t="e">
        <f>VLOOKUP(A1093,收盤價!A:B,3,0)</f>
        <v>#REF!</v>
      </c>
      <c r="E1093" s="85">
        <v>-0.16286644951140067</v>
      </c>
      <c r="F1093">
        <v>30.95</v>
      </c>
    </row>
    <row r="1094" spans="1:6">
      <c r="A1094">
        <v>4712</v>
      </c>
      <c r="B1094" t="s">
        <v>429</v>
      </c>
      <c r="C1094">
        <v>10.050000000000001</v>
      </c>
      <c r="D1094" t="e">
        <f>VLOOKUP(A1094,收盤價!A:B,3,0)</f>
        <v>#REF!</v>
      </c>
      <c r="E1094" s="85">
        <v>-0.16318407960199011</v>
      </c>
      <c r="F1094">
        <v>30.89</v>
      </c>
    </row>
    <row r="1095" spans="1:6">
      <c r="A1095">
        <v>8093</v>
      </c>
      <c r="B1095" t="s">
        <v>2405</v>
      </c>
      <c r="C1095">
        <v>6.6</v>
      </c>
      <c r="D1095" t="e">
        <f>VLOOKUP(A1095,收盤價!A:B,3,0)</f>
        <v>#REF!</v>
      </c>
      <c r="E1095" s="85">
        <v>-0.16363636363636366</v>
      </c>
      <c r="F1095">
        <v>30.83</v>
      </c>
    </row>
    <row r="1096" spans="1:6">
      <c r="A1096">
        <v>2006</v>
      </c>
      <c r="B1096" t="s">
        <v>1353</v>
      </c>
      <c r="C1096">
        <v>22.55</v>
      </c>
      <c r="D1096">
        <f>VLOOKUP(A1096,收盤價!A:C,3,0)</f>
        <v>18.45</v>
      </c>
      <c r="E1096" s="85">
        <v>-0.16407982261640794</v>
      </c>
      <c r="F1096">
        <v>30.76</v>
      </c>
    </row>
    <row r="1097" spans="1:6">
      <c r="A1097">
        <v>5701</v>
      </c>
      <c r="B1097" t="s">
        <v>2301</v>
      </c>
      <c r="C1097">
        <v>4.07</v>
      </c>
      <c r="D1097" t="e">
        <f>VLOOKUP(A1097,收盤價!A:B,3,0)</f>
        <v>#REF!</v>
      </c>
      <c r="E1097" s="85">
        <v>-0.1646191646191647</v>
      </c>
      <c r="F1097">
        <v>30.7</v>
      </c>
    </row>
    <row r="1098" spans="1:6">
      <c r="A1098">
        <v>9912</v>
      </c>
      <c r="B1098" t="s">
        <v>2011</v>
      </c>
      <c r="C1098">
        <v>10.8</v>
      </c>
      <c r="D1098" t="e">
        <f>VLOOKUP(A1098,收盤價!A:B,3,0)</f>
        <v>#REF!</v>
      </c>
      <c r="E1098" s="85">
        <v>-0.16481481481481491</v>
      </c>
      <c r="F1098">
        <v>30.64</v>
      </c>
    </row>
    <row r="1099" spans="1:6">
      <c r="A1099">
        <v>3588</v>
      </c>
      <c r="B1099" t="s">
        <v>1758</v>
      </c>
      <c r="C1099">
        <v>32.700000000000003</v>
      </c>
      <c r="D1099" t="e">
        <f>VLOOKUP(A1099,收盤價!A:B,3,0)</f>
        <v>#REF!</v>
      </c>
      <c r="E1099" s="85">
        <v>-0.16513761467889915</v>
      </c>
      <c r="F1099">
        <v>30.57</v>
      </c>
    </row>
    <row r="1100" spans="1:6">
      <c r="A1100">
        <v>5234</v>
      </c>
      <c r="B1100" t="s">
        <v>1834</v>
      </c>
      <c r="C1100">
        <v>38.1</v>
      </c>
      <c r="D1100" t="e">
        <f>VLOOKUP(A1100,收盤價!A:B,3,0)</f>
        <v>#REF!</v>
      </c>
      <c r="E1100" s="85">
        <v>-0.16535433070866143</v>
      </c>
      <c r="F1100">
        <v>30.51</v>
      </c>
    </row>
    <row r="1101" spans="1:6">
      <c r="A1101">
        <v>2430</v>
      </c>
      <c r="B1101" t="s">
        <v>1489</v>
      </c>
      <c r="C1101">
        <v>23.85</v>
      </c>
      <c r="D1101" t="e">
        <f>VLOOKUP(A1101,收盤價!A:B,3,0)</f>
        <v>#REF!</v>
      </c>
      <c r="E1101" s="85">
        <v>-0.16561844863731667</v>
      </c>
      <c r="F1101">
        <v>30.45</v>
      </c>
    </row>
    <row r="1102" spans="1:6">
      <c r="A1102">
        <v>3631</v>
      </c>
      <c r="B1102" t="s">
        <v>397</v>
      </c>
      <c r="C1102">
        <v>33.450000000000003</v>
      </c>
      <c r="D1102" t="e">
        <f>VLOOKUP(A1102,收盤價!A:B,3,0)</f>
        <v>#REF!</v>
      </c>
      <c r="E1102" s="85">
        <v>-0.16591928251121088</v>
      </c>
      <c r="F1102">
        <v>30.39</v>
      </c>
    </row>
    <row r="1103" spans="1:6">
      <c r="A1103">
        <v>3276</v>
      </c>
      <c r="B1103" t="s">
        <v>2102</v>
      </c>
      <c r="C1103">
        <v>11.85</v>
      </c>
      <c r="D1103" t="e">
        <f>VLOOKUP(A1103,收盤價!A:B,3,0)</f>
        <v>#REF!</v>
      </c>
      <c r="E1103" s="85">
        <v>-0.16624472573839652</v>
      </c>
      <c r="F1103">
        <v>30.32</v>
      </c>
    </row>
    <row r="1104" spans="1:6">
      <c r="A1104">
        <v>3189</v>
      </c>
      <c r="B1104" t="s">
        <v>1709</v>
      </c>
      <c r="C1104">
        <v>84.6</v>
      </c>
      <c r="D1104" t="e">
        <f>VLOOKUP(A1104,收盤價!A:B,3,0)</f>
        <v>#REF!</v>
      </c>
      <c r="E1104" s="85">
        <v>-0.1666666666666666</v>
      </c>
      <c r="F1104">
        <v>30.26</v>
      </c>
    </row>
    <row r="1105" spans="1:6">
      <c r="A1105">
        <v>3024</v>
      </c>
      <c r="B1105" t="s">
        <v>1667</v>
      </c>
      <c r="C1105">
        <v>5.04</v>
      </c>
      <c r="D1105" t="e">
        <f>VLOOKUP(A1105,收盤價!A:B,3,0)</f>
        <v>#REF!</v>
      </c>
      <c r="E1105" s="85">
        <v>-0.16666666666666663</v>
      </c>
      <c r="F1105">
        <v>30.2</v>
      </c>
    </row>
    <row r="1106" spans="1:6">
      <c r="A1106">
        <v>6206</v>
      </c>
      <c r="B1106" t="s">
        <v>1898</v>
      </c>
      <c r="C1106">
        <v>123</v>
      </c>
      <c r="D1106" t="e">
        <f>VLOOKUP(A1106,收盤價!A:B,3,0)</f>
        <v>#REF!</v>
      </c>
      <c r="E1106" s="85">
        <v>-0.16666666666666666</v>
      </c>
      <c r="F1106">
        <v>30.13</v>
      </c>
    </row>
    <row r="1107" spans="1:6">
      <c r="A1107">
        <v>5519</v>
      </c>
      <c r="B1107" t="s">
        <v>1848</v>
      </c>
      <c r="C1107">
        <v>16.5</v>
      </c>
      <c r="D1107" t="e">
        <f>VLOOKUP(A1107,收盤價!A:B,3,0)</f>
        <v>#REF!</v>
      </c>
      <c r="E1107" s="85">
        <v>-0.16666666666666666</v>
      </c>
      <c r="F1107">
        <v>30.07</v>
      </c>
    </row>
    <row r="1108" spans="1:6">
      <c r="A1108">
        <v>8935</v>
      </c>
      <c r="B1108" t="s">
        <v>574</v>
      </c>
      <c r="C1108">
        <v>7.66</v>
      </c>
      <c r="D1108" t="e">
        <f>VLOOKUP(A1108,收盤價!A:B,3,0)</f>
        <v>#REF!</v>
      </c>
      <c r="E1108" s="85">
        <v>-0.16710182767624024</v>
      </c>
      <c r="F1108">
        <v>30.01</v>
      </c>
    </row>
    <row r="1109" spans="1:6">
      <c r="A1109">
        <v>8424</v>
      </c>
      <c r="B1109" t="s">
        <v>560</v>
      </c>
      <c r="C1109">
        <v>46.3</v>
      </c>
      <c r="D1109" t="e">
        <f>VLOOKUP(A1109,收盤價!A:B,3,0)</f>
        <v>#REF!</v>
      </c>
      <c r="E1109" s="85">
        <v>-0.16738660907127431</v>
      </c>
      <c r="F1109">
        <v>29.94</v>
      </c>
    </row>
    <row r="1110" spans="1:6">
      <c r="A1110">
        <v>1521</v>
      </c>
      <c r="B1110" t="s">
        <v>1261</v>
      </c>
      <c r="C1110">
        <v>101.5</v>
      </c>
      <c r="D1110">
        <f>VLOOKUP(A1110,收盤價!A:C,3,0)</f>
        <v>84.3</v>
      </c>
      <c r="E1110" s="85">
        <v>-0.16748768472906403</v>
      </c>
      <c r="F1110">
        <v>29.88</v>
      </c>
    </row>
    <row r="1111" spans="1:6">
      <c r="A1111">
        <v>8038</v>
      </c>
      <c r="B1111" t="s">
        <v>542</v>
      </c>
      <c r="C1111">
        <v>37.6</v>
      </c>
      <c r="D1111" t="e">
        <f>VLOOKUP(A1111,收盤價!A:B,3,0)</f>
        <v>#REF!</v>
      </c>
      <c r="E1111" s="85">
        <v>-0.16755319148936171</v>
      </c>
      <c r="F1111">
        <v>29.82</v>
      </c>
    </row>
    <row r="1112" spans="1:6">
      <c r="A1112">
        <v>8299</v>
      </c>
      <c r="B1112" t="s">
        <v>2425</v>
      </c>
      <c r="C1112">
        <v>267.5</v>
      </c>
      <c r="D1112" t="e">
        <f>VLOOKUP(A1112,收盤價!A:B,3,0)</f>
        <v>#REF!</v>
      </c>
      <c r="E1112" s="85">
        <v>-0.16822429906542055</v>
      </c>
      <c r="F1112">
        <v>29.75</v>
      </c>
    </row>
    <row r="1113" spans="1:6">
      <c r="A1113">
        <v>9939</v>
      </c>
      <c r="B1113" t="s">
        <v>2030</v>
      </c>
      <c r="C1113">
        <v>60.6</v>
      </c>
      <c r="D1113" t="e">
        <f>VLOOKUP(A1113,收盤價!A:B,3,0)</f>
        <v>#REF!</v>
      </c>
      <c r="E1113" s="85">
        <v>-0.16831683168316836</v>
      </c>
      <c r="F1113">
        <v>29.69</v>
      </c>
    </row>
    <row r="1114" spans="1:6">
      <c r="A1114">
        <v>6105</v>
      </c>
      <c r="B1114" t="s">
        <v>2314</v>
      </c>
      <c r="C1114">
        <v>50.2</v>
      </c>
      <c r="D1114" t="e">
        <f>VLOOKUP(A1114,收盤價!A:B,3,0)</f>
        <v>#REF!</v>
      </c>
      <c r="E1114" s="85">
        <v>-0.16832669322709168</v>
      </c>
      <c r="F1114">
        <v>29.63</v>
      </c>
    </row>
    <row r="1115" spans="1:6">
      <c r="A1115">
        <v>6129</v>
      </c>
      <c r="B1115" t="s">
        <v>2326</v>
      </c>
      <c r="C1115">
        <v>8.43</v>
      </c>
      <c r="D1115" t="e">
        <f>VLOOKUP(A1115,收盤價!A:B,3,0)</f>
        <v>#REF!</v>
      </c>
      <c r="E1115" s="85">
        <v>-0.16844602609727163</v>
      </c>
      <c r="F1115">
        <v>29.56</v>
      </c>
    </row>
    <row r="1116" spans="1:6">
      <c r="A1116">
        <v>2886</v>
      </c>
      <c r="B1116" t="s">
        <v>1628</v>
      </c>
      <c r="C1116">
        <v>27.8</v>
      </c>
      <c r="D1116" t="e">
        <f>VLOOKUP(A1116,收盤價!A:B,3,0)</f>
        <v>#REF!</v>
      </c>
      <c r="E1116" s="85">
        <v>-0.16906474820143882</v>
      </c>
      <c r="F1116">
        <v>29.5</v>
      </c>
    </row>
    <row r="1117" spans="1:6">
      <c r="A1117">
        <v>2924</v>
      </c>
      <c r="B1117" t="s">
        <v>2069</v>
      </c>
      <c r="C1117">
        <v>76.2</v>
      </c>
      <c r="D1117" t="e">
        <f>VLOOKUP(A1117,收盤價!A:B,3,0)</f>
        <v>#REF!</v>
      </c>
      <c r="E1117" s="85">
        <v>-0.16929133858267723</v>
      </c>
      <c r="F1117">
        <v>29.44</v>
      </c>
    </row>
    <row r="1118" spans="1:6">
      <c r="A1118">
        <v>1809</v>
      </c>
      <c r="B1118" t="s">
        <v>1342</v>
      </c>
      <c r="C1118">
        <v>12.4</v>
      </c>
      <c r="D1118">
        <f>VLOOKUP(A1118,收盤價!A:C,3,0)</f>
        <v>10.85</v>
      </c>
      <c r="E1118" s="85">
        <v>-0.16935483870967738</v>
      </c>
      <c r="F1118">
        <v>29.37</v>
      </c>
    </row>
    <row r="1119" spans="1:6">
      <c r="A1119">
        <v>5488</v>
      </c>
      <c r="B1119" t="s">
        <v>2287</v>
      </c>
      <c r="C1119">
        <v>6.79</v>
      </c>
      <c r="D1119" t="e">
        <f>VLOOKUP(A1119,收盤價!A:B,3,0)</f>
        <v>#REF!</v>
      </c>
      <c r="E1119" s="85">
        <v>-0.1693667157584684</v>
      </c>
      <c r="F1119">
        <v>29.31</v>
      </c>
    </row>
    <row r="1120" spans="1:6">
      <c r="A1120">
        <v>1722</v>
      </c>
      <c r="B1120" t="s">
        <v>1318</v>
      </c>
      <c r="C1120">
        <v>51</v>
      </c>
      <c r="D1120">
        <f>VLOOKUP(A1120,收盤價!A:C,3,0)</f>
        <v>42.55</v>
      </c>
      <c r="E1120" s="85">
        <v>-0.16960784313725488</v>
      </c>
      <c r="F1120">
        <v>29.25</v>
      </c>
    </row>
    <row r="1121" spans="1:6">
      <c r="A1121">
        <v>910861</v>
      </c>
      <c r="B1121" t="s">
        <v>1986</v>
      </c>
      <c r="C1121">
        <v>20.6</v>
      </c>
      <c r="D1121" t="e">
        <f>VLOOKUP(A1121,收盤價!A:B,3,0)</f>
        <v>#REF!</v>
      </c>
      <c r="E1121" s="85">
        <v>-0.1699029126213592</v>
      </c>
      <c r="F1121">
        <v>29.19</v>
      </c>
    </row>
    <row r="1122" spans="1:6">
      <c r="A1122">
        <v>3689</v>
      </c>
      <c r="B1122" t="s">
        <v>2163</v>
      </c>
      <c r="C1122">
        <v>52.6</v>
      </c>
      <c r="D1122" t="e">
        <f>VLOOKUP(A1122,收盤價!A:B,3,0)</f>
        <v>#REF!</v>
      </c>
      <c r="E1122" s="85">
        <v>-0.17015209125475289</v>
      </c>
      <c r="F1122">
        <v>29.12</v>
      </c>
    </row>
    <row r="1123" spans="1:6">
      <c r="A1123">
        <v>1227</v>
      </c>
      <c r="B1123" t="s">
        <v>1167</v>
      </c>
      <c r="C1123">
        <v>92.2</v>
      </c>
      <c r="D1123">
        <f>VLOOKUP(A1123,收盤價!A:C,3,0)</f>
        <v>77.599999999999994</v>
      </c>
      <c r="E1123" s="85">
        <v>-0.17028199566160523</v>
      </c>
      <c r="F1123">
        <v>29.06</v>
      </c>
    </row>
    <row r="1124" spans="1:6">
      <c r="A1124">
        <v>3315</v>
      </c>
      <c r="B1124" t="s">
        <v>1720</v>
      </c>
      <c r="C1124">
        <v>19</v>
      </c>
      <c r="D1124" t="e">
        <f>VLOOKUP(A1124,收盤價!A:B,3,0)</f>
        <v>#REF!</v>
      </c>
      <c r="E1124" s="85">
        <v>-0.17105263157894737</v>
      </c>
      <c r="F1124">
        <v>29</v>
      </c>
    </row>
    <row r="1125" spans="1:6">
      <c r="A1125">
        <v>1453</v>
      </c>
      <c r="B1125" t="s">
        <v>1228</v>
      </c>
      <c r="C1125">
        <v>10.35</v>
      </c>
      <c r="D1125">
        <f>VLOOKUP(A1125,收盤價!A:C,3,0)</f>
        <v>8.6300000000000008</v>
      </c>
      <c r="E1125" s="85">
        <v>-0.17198067632850236</v>
      </c>
      <c r="F1125">
        <v>28.93</v>
      </c>
    </row>
    <row r="1126" spans="1:6">
      <c r="A1126">
        <v>2520</v>
      </c>
      <c r="B1126" t="s">
        <v>1553</v>
      </c>
      <c r="C1126">
        <v>21.2</v>
      </c>
      <c r="D1126" t="e">
        <f>VLOOKUP(A1126,收盤價!A:B,3,0)</f>
        <v>#REF!</v>
      </c>
      <c r="E1126" s="85">
        <v>-0.17216981132075465</v>
      </c>
      <c r="F1126">
        <v>28.87</v>
      </c>
    </row>
    <row r="1127" spans="1:6">
      <c r="A1127">
        <v>3499</v>
      </c>
      <c r="B1127" t="s">
        <v>376</v>
      </c>
      <c r="C1127">
        <v>25.55</v>
      </c>
      <c r="D1127" t="e">
        <f>VLOOKUP(A1127,收盤價!A:B,3,0)</f>
        <v>#REF!</v>
      </c>
      <c r="E1127" s="85">
        <v>-0.17221135029354215</v>
      </c>
      <c r="F1127">
        <v>28.81</v>
      </c>
    </row>
    <row r="1128" spans="1:6">
      <c r="A1128">
        <v>4956</v>
      </c>
      <c r="B1128" t="s">
        <v>1822</v>
      </c>
      <c r="C1128">
        <v>14.8</v>
      </c>
      <c r="D1128" t="e">
        <f>VLOOKUP(A1128,收盤價!A:B,3,0)</f>
        <v>#REF!</v>
      </c>
      <c r="E1128" s="85">
        <v>-0.17229729729729734</v>
      </c>
      <c r="F1128">
        <v>28.74</v>
      </c>
    </row>
    <row r="1129" spans="1:6">
      <c r="A1129">
        <v>6214</v>
      </c>
      <c r="B1129" t="s">
        <v>1901</v>
      </c>
      <c r="C1129">
        <v>70.099999999999994</v>
      </c>
      <c r="D1129" t="e">
        <f>VLOOKUP(A1129,收盤價!A:B,3,0)</f>
        <v>#REF!</v>
      </c>
      <c r="E1129" s="85">
        <v>-0.17261055634807412</v>
      </c>
      <c r="F1129">
        <v>28.68</v>
      </c>
    </row>
    <row r="1130" spans="1:6">
      <c r="A1130">
        <v>4999</v>
      </c>
      <c r="B1130" t="s">
        <v>1829</v>
      </c>
      <c r="C1130">
        <v>52</v>
      </c>
      <c r="D1130" t="e">
        <f>VLOOKUP(A1130,收盤價!A:B,3,0)</f>
        <v>#REF!</v>
      </c>
      <c r="E1130" s="85">
        <v>-0.17307692307692307</v>
      </c>
      <c r="F1130">
        <v>28.62</v>
      </c>
    </row>
    <row r="1131" spans="1:6">
      <c r="A1131">
        <v>4527</v>
      </c>
      <c r="B1131" t="s">
        <v>2207</v>
      </c>
      <c r="C1131">
        <v>26.65</v>
      </c>
      <c r="D1131" t="e">
        <f>VLOOKUP(A1131,收盤價!A:B,3,0)</f>
        <v>#REF!</v>
      </c>
      <c r="E1131" s="85">
        <v>-0.17448405253283297</v>
      </c>
      <c r="F1131">
        <v>28.55</v>
      </c>
    </row>
    <row r="1132" spans="1:6">
      <c r="A1132">
        <v>5871</v>
      </c>
      <c r="B1132" t="s">
        <v>1859</v>
      </c>
      <c r="C1132">
        <v>74.400000000000006</v>
      </c>
      <c r="D1132" t="e">
        <f>VLOOKUP(A1132,收盤價!A:B,3,0)</f>
        <v>#REF!</v>
      </c>
      <c r="E1132" s="85">
        <v>-0.17473118279569902</v>
      </c>
      <c r="F1132">
        <v>28.49</v>
      </c>
    </row>
    <row r="1133" spans="1:6">
      <c r="A1133">
        <v>912000</v>
      </c>
      <c r="B1133" t="s">
        <v>1996</v>
      </c>
      <c r="C1133">
        <v>4.57</v>
      </c>
      <c r="D1133" t="e">
        <f>VLOOKUP(A1133,收盤價!A:B,3,0)</f>
        <v>#REF!</v>
      </c>
      <c r="E1133" s="85">
        <v>-0.17505470459518604</v>
      </c>
      <c r="F1133">
        <v>28.43</v>
      </c>
    </row>
    <row r="1134" spans="1:6">
      <c r="A1134">
        <v>6118</v>
      </c>
      <c r="B1134" t="s">
        <v>2320</v>
      </c>
      <c r="C1134">
        <v>9.35</v>
      </c>
      <c r="D1134" t="e">
        <f>VLOOKUP(A1134,收盤價!A:B,3,0)</f>
        <v>#REF!</v>
      </c>
      <c r="E1134" s="85">
        <v>-0.17540106951871656</v>
      </c>
      <c r="F1134">
        <v>28.36</v>
      </c>
    </row>
    <row r="1135" spans="1:6">
      <c r="A1135">
        <v>1736</v>
      </c>
      <c r="B1135" t="s">
        <v>1331</v>
      </c>
      <c r="C1135">
        <v>71.7</v>
      </c>
      <c r="D1135">
        <f>VLOOKUP(A1135,收盤價!A:C,3,0)</f>
        <v>60.2</v>
      </c>
      <c r="E1135" s="85">
        <v>-0.17573221757322177</v>
      </c>
      <c r="F1135">
        <v>28.3</v>
      </c>
    </row>
    <row r="1136" spans="1:6">
      <c r="A1136">
        <v>5202</v>
      </c>
      <c r="B1136" t="s">
        <v>2245</v>
      </c>
      <c r="C1136">
        <v>17.3</v>
      </c>
      <c r="D1136" t="e">
        <f>VLOOKUP(A1136,收盤價!A:B,3,0)</f>
        <v>#REF!</v>
      </c>
      <c r="E1136" s="85">
        <v>-0.1763005780346821</v>
      </c>
      <c r="F1136">
        <v>28.24</v>
      </c>
    </row>
    <row r="1137" spans="1:6">
      <c r="A1137">
        <v>4946</v>
      </c>
      <c r="B1137" t="s">
        <v>2231</v>
      </c>
      <c r="C1137">
        <v>53.6</v>
      </c>
      <c r="D1137" t="e">
        <f>VLOOKUP(A1137,收盤價!A:B,3,0)</f>
        <v>#REF!</v>
      </c>
      <c r="E1137" s="85">
        <v>-0.17630597014925378</v>
      </c>
      <c r="F1137">
        <v>28.17</v>
      </c>
    </row>
    <row r="1138" spans="1:6">
      <c r="A1138">
        <v>4510</v>
      </c>
      <c r="B1138" t="s">
        <v>2204</v>
      </c>
      <c r="C1138">
        <v>19.8</v>
      </c>
      <c r="D1138" t="e">
        <f>VLOOKUP(A1138,收盤價!A:B,3,0)</f>
        <v>#REF!</v>
      </c>
      <c r="E1138" s="85">
        <v>-0.17676767676767677</v>
      </c>
      <c r="F1138">
        <v>28.11</v>
      </c>
    </row>
    <row r="1139" spans="1:6">
      <c r="A1139">
        <v>2441</v>
      </c>
      <c r="B1139" t="s">
        <v>1498</v>
      </c>
      <c r="C1139">
        <v>36.15</v>
      </c>
      <c r="D1139" t="e">
        <f>VLOOKUP(A1139,收盤價!A:B,3,0)</f>
        <v>#REF!</v>
      </c>
      <c r="E1139" s="85">
        <v>-0.17704011065006911</v>
      </c>
      <c r="F1139">
        <v>28.05</v>
      </c>
    </row>
    <row r="1140" spans="1:6">
      <c r="A1140">
        <v>2442</v>
      </c>
      <c r="B1140" t="s">
        <v>1499</v>
      </c>
      <c r="C1140">
        <v>8.49</v>
      </c>
      <c r="D1140" t="e">
        <f>VLOOKUP(A1140,收盤價!A:B,3,0)</f>
        <v>#REF!</v>
      </c>
      <c r="E1140" s="85">
        <v>-0.17785630153121315</v>
      </c>
      <c r="F1140">
        <v>27.98</v>
      </c>
    </row>
    <row r="1141" spans="1:6">
      <c r="A1141">
        <v>2321</v>
      </c>
      <c r="B1141" t="s">
        <v>1411</v>
      </c>
      <c r="C1141">
        <v>1.91</v>
      </c>
      <c r="D1141">
        <f>VLOOKUP(A1141,收盤價!A:C,3,0)</f>
        <v>1.56</v>
      </c>
      <c r="E1141" s="85">
        <v>-0.17801047120418842</v>
      </c>
      <c r="F1141">
        <v>27.92</v>
      </c>
    </row>
    <row r="1142" spans="1:6">
      <c r="A1142">
        <v>3025</v>
      </c>
      <c r="B1142" t="s">
        <v>1668</v>
      </c>
      <c r="C1142">
        <v>10.199999999999999</v>
      </c>
      <c r="D1142" t="e">
        <f>VLOOKUP(A1142,收盤價!A:B,3,0)</f>
        <v>#REF!</v>
      </c>
      <c r="E1142" s="85">
        <v>-0.17843137254901947</v>
      </c>
      <c r="F1142">
        <v>27.86</v>
      </c>
    </row>
    <row r="1143" spans="1:6">
      <c r="A1143">
        <v>2501</v>
      </c>
      <c r="B1143" t="s">
        <v>1544</v>
      </c>
      <c r="C1143">
        <v>17.05</v>
      </c>
      <c r="D1143" t="e">
        <f>VLOOKUP(A1143,收盤價!A:B,3,0)</f>
        <v>#REF!</v>
      </c>
      <c r="E1143" s="85">
        <v>-0.17888563049853376</v>
      </c>
      <c r="F1143">
        <v>27.8</v>
      </c>
    </row>
    <row r="1144" spans="1:6">
      <c r="A1144">
        <v>8437</v>
      </c>
      <c r="B1144" t="s">
        <v>2438</v>
      </c>
      <c r="C1144">
        <v>162</v>
      </c>
      <c r="D1144" t="e">
        <f>VLOOKUP(A1144,收盤價!A:B,3,0)</f>
        <v>#REF!</v>
      </c>
      <c r="E1144" s="85">
        <v>-0.17901234567901234</v>
      </c>
      <c r="F1144">
        <v>27.73</v>
      </c>
    </row>
    <row r="1145" spans="1:6">
      <c r="A1145">
        <v>6702</v>
      </c>
      <c r="B1145" t="s">
        <v>1939</v>
      </c>
      <c r="C1145">
        <v>8.6</v>
      </c>
      <c r="D1145" t="e">
        <f>VLOOKUP(A1145,收盤價!A:B,3,0)</f>
        <v>#REF!</v>
      </c>
      <c r="E1145" s="85">
        <v>-0.17906976744186048</v>
      </c>
      <c r="F1145">
        <v>27.67</v>
      </c>
    </row>
    <row r="1146" spans="1:6">
      <c r="A1146">
        <v>6167</v>
      </c>
      <c r="B1146" t="s">
        <v>2337</v>
      </c>
      <c r="C1146">
        <v>4.68</v>
      </c>
      <c r="D1146" t="e">
        <f>VLOOKUP(A1146,收盤價!A:B,3,0)</f>
        <v>#REF!</v>
      </c>
      <c r="E1146" s="85">
        <v>-0.17948717948717946</v>
      </c>
      <c r="F1146">
        <v>27.61</v>
      </c>
    </row>
    <row r="1147" spans="1:6">
      <c r="A1147">
        <v>2497</v>
      </c>
      <c r="B1147" t="s">
        <v>1541</v>
      </c>
      <c r="C1147">
        <v>54.5</v>
      </c>
      <c r="D1147" t="e">
        <f>VLOOKUP(A1147,收盤價!A:B,3,0)</f>
        <v>#REF!</v>
      </c>
      <c r="E1147" s="85">
        <v>-0.17981651376146784</v>
      </c>
      <c r="F1147">
        <v>27.54</v>
      </c>
    </row>
    <row r="1148" spans="1:6">
      <c r="A1148">
        <v>6432</v>
      </c>
      <c r="B1148" t="s">
        <v>2376</v>
      </c>
      <c r="C1148">
        <v>37.25</v>
      </c>
      <c r="D1148" t="e">
        <f>VLOOKUP(A1148,收盤價!A:B,3,0)</f>
        <v>#REF!</v>
      </c>
      <c r="E1148" s="85">
        <v>-0.17986577181208052</v>
      </c>
      <c r="F1148">
        <v>27.48</v>
      </c>
    </row>
    <row r="1149" spans="1:6">
      <c r="A1149">
        <v>2033</v>
      </c>
      <c r="B1149" t="s">
        <v>1374</v>
      </c>
      <c r="C1149">
        <v>9.9499999999999993</v>
      </c>
      <c r="D1149">
        <f>VLOOKUP(A1149,收盤價!A:C,3,0)</f>
        <v>8.09</v>
      </c>
      <c r="E1149" s="85">
        <v>-0.17989949748743711</v>
      </c>
      <c r="F1149">
        <v>27.42</v>
      </c>
    </row>
    <row r="1150" spans="1:6">
      <c r="A1150">
        <v>2302</v>
      </c>
      <c r="B1150" t="s">
        <v>1401</v>
      </c>
      <c r="C1150">
        <v>7.78</v>
      </c>
      <c r="D1150">
        <f>VLOOKUP(A1150,收盤價!A:C,3,0)</f>
        <v>6.38</v>
      </c>
      <c r="E1150" s="85">
        <v>-0.17994858611825196</v>
      </c>
      <c r="F1150">
        <v>27.35</v>
      </c>
    </row>
    <row r="1151" spans="1:6">
      <c r="A1151">
        <v>9950</v>
      </c>
      <c r="B1151" t="s">
        <v>2454</v>
      </c>
      <c r="C1151">
        <v>25</v>
      </c>
      <c r="D1151" t="e">
        <f>VLOOKUP(A1151,收盤價!A:B,3,0)</f>
        <v>#REF!</v>
      </c>
      <c r="E1151" s="85">
        <v>-0.18</v>
      </c>
      <c r="F1151">
        <v>27.29</v>
      </c>
    </row>
    <row r="1152" spans="1:6">
      <c r="A1152">
        <v>2067</v>
      </c>
      <c r="B1152" t="s">
        <v>2058</v>
      </c>
      <c r="C1152">
        <v>17.5</v>
      </c>
      <c r="D1152">
        <f>VLOOKUP(A1152,收盤價!A:C,3,0)</f>
        <v>15.25</v>
      </c>
      <c r="E1152" s="85">
        <v>-0.18000000000000002</v>
      </c>
      <c r="F1152">
        <v>27.23</v>
      </c>
    </row>
    <row r="1153" spans="1:6">
      <c r="A1153">
        <v>3567</v>
      </c>
      <c r="B1153" t="s">
        <v>2144</v>
      </c>
      <c r="C1153">
        <v>13.6</v>
      </c>
      <c r="D1153" t="e">
        <f>VLOOKUP(A1153,收盤價!A:B,3,0)</f>
        <v>#REF!</v>
      </c>
      <c r="E1153" s="85">
        <v>-0.18014705882352935</v>
      </c>
      <c r="F1153">
        <v>27.16</v>
      </c>
    </row>
    <row r="1154" spans="1:6">
      <c r="A1154">
        <v>3265</v>
      </c>
      <c r="B1154" t="s">
        <v>349</v>
      </c>
      <c r="C1154">
        <v>33.299999999999997</v>
      </c>
      <c r="D1154" t="e">
        <f>VLOOKUP(A1154,收盤價!A:B,3,0)</f>
        <v>#REF!</v>
      </c>
      <c r="E1154" s="85">
        <v>-0.18018018018018009</v>
      </c>
      <c r="F1154">
        <v>27.1</v>
      </c>
    </row>
    <row r="1155" spans="1:6">
      <c r="A1155">
        <v>3048</v>
      </c>
      <c r="B1155" t="s">
        <v>1690</v>
      </c>
      <c r="C1155">
        <v>25.75</v>
      </c>
      <c r="D1155" t="e">
        <f>VLOOKUP(A1155,收盤價!A:B,3,0)</f>
        <v>#REF!</v>
      </c>
      <c r="E1155" s="85">
        <v>-0.1805825242718446</v>
      </c>
      <c r="F1155">
        <v>27.04</v>
      </c>
    </row>
    <row r="1156" spans="1:6">
      <c r="A1156">
        <v>8213</v>
      </c>
      <c r="B1156" t="s">
        <v>1960</v>
      </c>
      <c r="C1156">
        <v>43.3</v>
      </c>
      <c r="D1156" t="e">
        <f>VLOOKUP(A1156,收盤價!A:B,3,0)</f>
        <v>#REF!</v>
      </c>
      <c r="E1156" s="85">
        <v>-0.18129330254041559</v>
      </c>
      <c r="F1156">
        <v>26.97</v>
      </c>
    </row>
    <row r="1157" spans="1:6">
      <c r="A1157">
        <v>5464</v>
      </c>
      <c r="B1157" t="s">
        <v>2281</v>
      </c>
      <c r="C1157">
        <v>20.399999999999999</v>
      </c>
      <c r="D1157" t="e">
        <f>VLOOKUP(A1157,收盤價!A:B,3,0)</f>
        <v>#REF!</v>
      </c>
      <c r="E1157" s="85">
        <v>-0.18137254901960781</v>
      </c>
      <c r="F1157">
        <v>26.91</v>
      </c>
    </row>
    <row r="1158" spans="1:6">
      <c r="A1158">
        <v>4907</v>
      </c>
      <c r="B1158" t="s">
        <v>2227</v>
      </c>
      <c r="C1158">
        <v>14.05</v>
      </c>
      <c r="D1158" t="e">
        <f>VLOOKUP(A1158,收盤價!A:B,3,0)</f>
        <v>#REF!</v>
      </c>
      <c r="E1158" s="85">
        <v>-0.18149466192170824</v>
      </c>
      <c r="F1158">
        <v>26.85</v>
      </c>
    </row>
    <row r="1159" spans="1:6">
      <c r="A1159">
        <v>3354</v>
      </c>
      <c r="B1159" t="s">
        <v>2115</v>
      </c>
      <c r="C1159">
        <v>10</v>
      </c>
      <c r="D1159" t="e">
        <f>VLOOKUP(A1159,收盤價!A:B,3,0)</f>
        <v>#REF!</v>
      </c>
      <c r="E1159" s="85">
        <v>-0.18200000000000002</v>
      </c>
      <c r="F1159">
        <v>26.78</v>
      </c>
    </row>
    <row r="1160" spans="1:6">
      <c r="A1160">
        <v>6138</v>
      </c>
      <c r="B1160" t="s">
        <v>2328</v>
      </c>
      <c r="C1160">
        <v>23.9</v>
      </c>
      <c r="D1160" t="e">
        <f>VLOOKUP(A1160,收盤價!A:B,3,0)</f>
        <v>#REF!</v>
      </c>
      <c r="E1160" s="85">
        <v>-0.18200836820083674</v>
      </c>
      <c r="F1160">
        <v>26.72</v>
      </c>
    </row>
    <row r="1161" spans="1:6">
      <c r="A1161">
        <v>6263</v>
      </c>
      <c r="B1161" t="s">
        <v>2363</v>
      </c>
      <c r="C1161">
        <v>57.1</v>
      </c>
      <c r="D1161" t="e">
        <f>VLOOKUP(A1161,收盤價!A:B,3,0)</f>
        <v>#REF!</v>
      </c>
      <c r="E1161" s="85">
        <v>-0.18213660245183885</v>
      </c>
      <c r="F1161">
        <v>26.66</v>
      </c>
    </row>
    <row r="1162" spans="1:6">
      <c r="A1162">
        <v>5289</v>
      </c>
      <c r="B1162" t="s">
        <v>2256</v>
      </c>
      <c r="C1162">
        <v>112.5</v>
      </c>
      <c r="D1162" t="e">
        <f>VLOOKUP(A1162,收盤價!A:B,3,0)</f>
        <v>#REF!</v>
      </c>
      <c r="E1162" s="85">
        <v>-0.18222222222222223</v>
      </c>
      <c r="F1162">
        <v>26.6</v>
      </c>
    </row>
    <row r="1163" spans="1:6">
      <c r="A1163">
        <v>1340</v>
      </c>
      <c r="B1163" t="s">
        <v>1199</v>
      </c>
      <c r="C1163">
        <v>84.3</v>
      </c>
      <c r="D1163">
        <f>VLOOKUP(A1163,收盤價!A:C,3,0)</f>
        <v>76</v>
      </c>
      <c r="E1163" s="85">
        <v>-0.18268090154211142</v>
      </c>
      <c r="F1163">
        <v>26.53</v>
      </c>
    </row>
    <row r="1164" spans="1:6">
      <c r="A1164">
        <v>1612</v>
      </c>
      <c r="B1164" t="s">
        <v>1294</v>
      </c>
      <c r="C1164">
        <v>9.85</v>
      </c>
      <c r="D1164">
        <f>VLOOKUP(A1164,收盤價!A:C,3,0)</f>
        <v>8.16</v>
      </c>
      <c r="E1164" s="85">
        <v>-0.18274111675126894</v>
      </c>
      <c r="F1164">
        <v>26.47</v>
      </c>
    </row>
    <row r="1165" spans="1:6">
      <c r="A1165">
        <v>2025</v>
      </c>
      <c r="B1165" t="s">
        <v>1367</v>
      </c>
      <c r="C1165">
        <v>4.0999999999999996</v>
      </c>
      <c r="D1165">
        <f>VLOOKUP(A1165,收盤價!A:C,3,0)</f>
        <v>3.21</v>
      </c>
      <c r="E1165" s="85">
        <v>-0.1829268292682926</v>
      </c>
      <c r="F1165">
        <v>26.41</v>
      </c>
    </row>
    <row r="1166" spans="1:6">
      <c r="A1166">
        <v>8066</v>
      </c>
      <c r="B1166" t="s">
        <v>2394</v>
      </c>
      <c r="C1166">
        <v>117.5</v>
      </c>
      <c r="D1166" t="e">
        <f>VLOOKUP(A1166,收盤價!A:B,3,0)</f>
        <v>#REF!</v>
      </c>
      <c r="E1166" s="85">
        <v>-0.18297872340425531</v>
      </c>
      <c r="F1166">
        <v>26.34</v>
      </c>
    </row>
    <row r="1167" spans="1:6">
      <c r="A1167">
        <v>3372</v>
      </c>
      <c r="B1167" t="s">
        <v>364</v>
      </c>
      <c r="C1167">
        <v>9.11</v>
      </c>
      <c r="D1167" t="e">
        <f>VLOOKUP(A1167,收盤價!A:B,3,0)</f>
        <v>#REF!</v>
      </c>
      <c r="E1167" s="85">
        <v>-0.18331503841931934</v>
      </c>
      <c r="F1167">
        <v>26.28</v>
      </c>
    </row>
    <row r="1168" spans="1:6">
      <c r="A1168">
        <v>1465</v>
      </c>
      <c r="B1168" t="s">
        <v>1237</v>
      </c>
      <c r="C1168">
        <v>16.350000000000001</v>
      </c>
      <c r="D1168">
        <f>VLOOKUP(A1168,收盤價!A:C,3,0)</f>
        <v>13.5</v>
      </c>
      <c r="E1168" s="85">
        <v>-0.18348623853211019</v>
      </c>
      <c r="F1168">
        <v>26.22</v>
      </c>
    </row>
    <row r="1169" spans="1:6">
      <c r="A1169">
        <v>4207</v>
      </c>
      <c r="B1169" t="s">
        <v>2190</v>
      </c>
      <c r="C1169">
        <v>11.6</v>
      </c>
      <c r="D1169" t="e">
        <f>VLOOKUP(A1169,收盤價!A:B,3,0)</f>
        <v>#REF!</v>
      </c>
      <c r="E1169" s="85">
        <v>-0.18362068965517234</v>
      </c>
      <c r="F1169">
        <v>26.15</v>
      </c>
    </row>
    <row r="1170" spans="1:6">
      <c r="A1170">
        <v>6261</v>
      </c>
      <c r="B1170" t="s">
        <v>529</v>
      </c>
      <c r="C1170">
        <v>57.7</v>
      </c>
      <c r="D1170" t="e">
        <f>VLOOKUP(A1170,收盤價!A:B,3,0)</f>
        <v>#REF!</v>
      </c>
      <c r="E1170" s="85">
        <v>-0.18370883882149047</v>
      </c>
      <c r="F1170">
        <v>26.09</v>
      </c>
    </row>
    <row r="1171" spans="1:6">
      <c r="A1171">
        <v>5287</v>
      </c>
      <c r="B1171" t="s">
        <v>456</v>
      </c>
      <c r="C1171">
        <v>408</v>
      </c>
      <c r="D1171" t="e">
        <f>VLOOKUP(A1171,收盤價!A:B,3,0)</f>
        <v>#REF!</v>
      </c>
      <c r="E1171" s="85">
        <v>-0.18382352941176472</v>
      </c>
      <c r="F1171">
        <v>26.03</v>
      </c>
    </row>
    <row r="1172" spans="1:6">
      <c r="A1172">
        <v>5371</v>
      </c>
      <c r="B1172" t="s">
        <v>468</v>
      </c>
      <c r="C1172">
        <v>37.700000000000003</v>
      </c>
      <c r="D1172" t="e">
        <f>VLOOKUP(A1172,收盤價!A:B,3,0)</f>
        <v>#REF!</v>
      </c>
      <c r="E1172" s="85">
        <v>-0.18435013262599476</v>
      </c>
      <c r="F1172">
        <v>25.96</v>
      </c>
    </row>
    <row r="1173" spans="1:6">
      <c r="A1173">
        <v>2462</v>
      </c>
      <c r="B1173" t="s">
        <v>1515</v>
      </c>
      <c r="C1173">
        <v>19.5</v>
      </c>
      <c r="D1173" t="e">
        <f>VLOOKUP(A1173,收盤價!A:B,3,0)</f>
        <v>#REF!</v>
      </c>
      <c r="E1173" s="85">
        <v>-0.1846153846153846</v>
      </c>
      <c r="F1173">
        <v>25.9</v>
      </c>
    </row>
    <row r="1174" spans="1:6">
      <c r="A1174">
        <v>2707</v>
      </c>
      <c r="B1174" t="s">
        <v>1596</v>
      </c>
      <c r="C1174">
        <v>260</v>
      </c>
      <c r="D1174" t="e">
        <f>VLOOKUP(A1174,收盤價!A:B,3,0)</f>
        <v>#REF!</v>
      </c>
      <c r="E1174" s="85">
        <v>-0.18461538461538463</v>
      </c>
      <c r="F1174">
        <v>25.84</v>
      </c>
    </row>
    <row r="1175" spans="1:6">
      <c r="A1175">
        <v>3311</v>
      </c>
      <c r="B1175" t="s">
        <v>1718</v>
      </c>
      <c r="C1175">
        <v>24.05</v>
      </c>
      <c r="D1175" t="e">
        <f>VLOOKUP(A1175,收盤價!A:B,3,0)</f>
        <v>#REF!</v>
      </c>
      <c r="E1175" s="85">
        <v>-0.18503118503118499</v>
      </c>
      <c r="F1175">
        <v>25.77</v>
      </c>
    </row>
    <row r="1176" spans="1:6">
      <c r="A1176">
        <v>2449</v>
      </c>
      <c r="B1176" t="s">
        <v>1503</v>
      </c>
      <c r="C1176">
        <v>26.95</v>
      </c>
      <c r="D1176" t="e">
        <f>VLOOKUP(A1176,收盤價!A:B,3,0)</f>
        <v>#REF!</v>
      </c>
      <c r="E1176" s="85">
        <v>-0.1855287569573284</v>
      </c>
      <c r="F1176">
        <v>25.71</v>
      </c>
    </row>
    <row r="1177" spans="1:6">
      <c r="A1177">
        <v>2332</v>
      </c>
      <c r="B1177" t="s">
        <v>1420</v>
      </c>
      <c r="C1177">
        <v>12.9</v>
      </c>
      <c r="D1177">
        <f>VLOOKUP(A1177,收盤價!A:C,3,0)</f>
        <v>10.95</v>
      </c>
      <c r="E1177" s="85">
        <v>-0.186046511627907</v>
      </c>
      <c r="F1177">
        <v>25.65</v>
      </c>
    </row>
    <row r="1178" spans="1:6">
      <c r="A1178">
        <v>3224</v>
      </c>
      <c r="B1178" t="s">
        <v>2097</v>
      </c>
      <c r="C1178">
        <v>39.15</v>
      </c>
      <c r="D1178" t="e">
        <f>VLOOKUP(A1178,收盤價!A:B,3,0)</f>
        <v>#REF!</v>
      </c>
      <c r="E1178" s="85">
        <v>-0.1864623243933588</v>
      </c>
      <c r="F1178">
        <v>25.58</v>
      </c>
    </row>
    <row r="1179" spans="1:6">
      <c r="A1179">
        <v>6211</v>
      </c>
      <c r="B1179" t="s">
        <v>2351</v>
      </c>
      <c r="C1179">
        <v>24.4</v>
      </c>
      <c r="D1179" t="e">
        <f>VLOOKUP(A1179,收盤價!A:B,3,0)</f>
        <v>#REF!</v>
      </c>
      <c r="E1179" s="85">
        <v>-0.18647540983606548</v>
      </c>
      <c r="F1179">
        <v>25.52</v>
      </c>
    </row>
    <row r="1180" spans="1:6">
      <c r="A1180">
        <v>3221</v>
      </c>
      <c r="B1180" t="s">
        <v>2096</v>
      </c>
      <c r="C1180">
        <v>19.55</v>
      </c>
      <c r="D1180" t="e">
        <f>VLOOKUP(A1180,收盤價!A:B,3,0)</f>
        <v>#REF!</v>
      </c>
      <c r="E1180" s="85">
        <v>-0.18670076726342713</v>
      </c>
      <c r="F1180">
        <v>25.46</v>
      </c>
    </row>
    <row r="1181" spans="1:6">
      <c r="A1181">
        <v>1566</v>
      </c>
      <c r="B1181" t="s">
        <v>306</v>
      </c>
      <c r="C1181">
        <v>24.9</v>
      </c>
      <c r="D1181">
        <f>VLOOKUP(A1181,收盤價!A:C,3,0)</f>
        <v>20.6</v>
      </c>
      <c r="E1181" s="85">
        <v>-0.18674698795180719</v>
      </c>
      <c r="F1181">
        <v>25.39</v>
      </c>
    </row>
    <row r="1182" spans="1:6">
      <c r="A1182">
        <v>5531</v>
      </c>
      <c r="B1182" t="s">
        <v>1852</v>
      </c>
      <c r="C1182">
        <v>14.45</v>
      </c>
      <c r="D1182" t="e">
        <f>VLOOKUP(A1182,收盤價!A:B,3,0)</f>
        <v>#REF!</v>
      </c>
      <c r="E1182" s="85">
        <v>-0.18685121107266431</v>
      </c>
      <c r="F1182">
        <v>25.33</v>
      </c>
    </row>
    <row r="1183" spans="1:6">
      <c r="A1183">
        <v>5706</v>
      </c>
      <c r="B1183" t="s">
        <v>1858</v>
      </c>
      <c r="C1183">
        <v>48.9</v>
      </c>
      <c r="D1183" t="e">
        <f>VLOOKUP(A1183,收盤價!A:B,3,0)</f>
        <v>#REF!</v>
      </c>
      <c r="E1183" s="85">
        <v>-0.18711656441717789</v>
      </c>
      <c r="F1183">
        <v>25.27</v>
      </c>
    </row>
    <row r="1184" spans="1:6">
      <c r="A1184">
        <v>9942</v>
      </c>
      <c r="B1184" t="s">
        <v>2033</v>
      </c>
      <c r="C1184">
        <v>93.1</v>
      </c>
      <c r="D1184" t="e">
        <f>VLOOKUP(A1184,收盤價!A:B,3,0)</f>
        <v>#REF!</v>
      </c>
      <c r="E1184" s="85">
        <v>-0.18796992481203009</v>
      </c>
      <c r="F1184">
        <v>25.21</v>
      </c>
    </row>
    <row r="1185" spans="1:6">
      <c r="A1185">
        <v>5452</v>
      </c>
      <c r="B1185" t="s">
        <v>475</v>
      </c>
      <c r="C1185">
        <v>10</v>
      </c>
      <c r="D1185" t="e">
        <f>VLOOKUP(A1185,收盤價!A:B,3,0)</f>
        <v>#REF!</v>
      </c>
      <c r="E1185" s="85">
        <v>-0.18800000000000008</v>
      </c>
      <c r="F1185">
        <v>25.14</v>
      </c>
    </row>
    <row r="1186" spans="1:6">
      <c r="A1186">
        <v>1451</v>
      </c>
      <c r="B1186" t="s">
        <v>1226</v>
      </c>
      <c r="C1186">
        <v>26.85</v>
      </c>
      <c r="D1186">
        <f>VLOOKUP(A1186,收盤價!A:C,3,0)</f>
        <v>21.9</v>
      </c>
      <c r="E1186" s="85">
        <v>-0.18808193668528866</v>
      </c>
      <c r="F1186">
        <v>25.08</v>
      </c>
    </row>
    <row r="1187" spans="1:6">
      <c r="A1187">
        <v>3675</v>
      </c>
      <c r="B1187" t="s">
        <v>2159</v>
      </c>
      <c r="C1187">
        <v>28.4</v>
      </c>
      <c r="D1187" t="e">
        <f>VLOOKUP(A1187,收盤價!A:B,3,0)</f>
        <v>#REF!</v>
      </c>
      <c r="E1187" s="85">
        <v>-0.18838028169014079</v>
      </c>
      <c r="F1187">
        <v>25.02</v>
      </c>
    </row>
    <row r="1188" spans="1:6">
      <c r="A1188">
        <v>1456</v>
      </c>
      <c r="B1188" t="s">
        <v>1231</v>
      </c>
      <c r="C1188">
        <v>6.9</v>
      </c>
      <c r="D1188">
        <f>VLOOKUP(A1188,收盤價!A:C,3,0)</f>
        <v>0</v>
      </c>
      <c r="E1188" s="85">
        <v>-0.18840579710144936</v>
      </c>
      <c r="F1188">
        <v>24.95</v>
      </c>
    </row>
    <row r="1189" spans="1:6">
      <c r="A1189">
        <v>3557</v>
      </c>
      <c r="B1189" t="s">
        <v>1750</v>
      </c>
      <c r="C1189">
        <v>5.14</v>
      </c>
      <c r="D1189" t="e">
        <f>VLOOKUP(A1189,收盤價!A:B,3,0)</f>
        <v>#REF!</v>
      </c>
      <c r="E1189" s="85">
        <v>-0.18871595330739296</v>
      </c>
      <c r="F1189">
        <v>24.89</v>
      </c>
    </row>
    <row r="1190" spans="1:6">
      <c r="A1190">
        <v>910801</v>
      </c>
      <c r="B1190" t="s">
        <v>1985</v>
      </c>
      <c r="C1190">
        <v>5.87</v>
      </c>
      <c r="D1190" t="e">
        <f>VLOOKUP(A1190,收盤價!A:B,3,0)</f>
        <v>#REF!</v>
      </c>
      <c r="E1190" s="85">
        <v>-0.18909710391822834</v>
      </c>
      <c r="F1190">
        <v>24.83</v>
      </c>
    </row>
    <row r="1191" spans="1:6">
      <c r="A1191">
        <v>6192</v>
      </c>
      <c r="B1191" t="s">
        <v>1892</v>
      </c>
      <c r="C1191">
        <v>54.9</v>
      </c>
      <c r="D1191" t="e">
        <f>VLOOKUP(A1191,收盤價!A:B,3,0)</f>
        <v>#REF!</v>
      </c>
      <c r="E1191" s="85">
        <v>-0.18943533697632056</v>
      </c>
      <c r="F1191">
        <v>24.76</v>
      </c>
    </row>
    <row r="1192" spans="1:6">
      <c r="A1192">
        <v>5302</v>
      </c>
      <c r="B1192" t="s">
        <v>459</v>
      </c>
      <c r="C1192">
        <v>7.07</v>
      </c>
      <c r="D1192" t="e">
        <f>VLOOKUP(A1192,收盤價!A:B,3,0)</f>
        <v>#REF!</v>
      </c>
      <c r="E1192" s="85">
        <v>-0.1895332390381895</v>
      </c>
      <c r="F1192">
        <v>24.7</v>
      </c>
    </row>
    <row r="1193" spans="1:6">
      <c r="A1193">
        <v>3211</v>
      </c>
      <c r="B1193" t="s">
        <v>2092</v>
      </c>
      <c r="C1193">
        <v>65.400000000000006</v>
      </c>
      <c r="D1193" t="e">
        <f>VLOOKUP(A1193,收盤價!A:B,3,0)</f>
        <v>#REF!</v>
      </c>
      <c r="E1193" s="85">
        <v>-0.1896024464831805</v>
      </c>
      <c r="F1193">
        <v>24.64</v>
      </c>
    </row>
    <row r="1194" spans="1:6">
      <c r="A1194">
        <v>3046</v>
      </c>
      <c r="B1194" t="s">
        <v>1688</v>
      </c>
      <c r="C1194">
        <v>14.5</v>
      </c>
      <c r="D1194" t="e">
        <f>VLOOKUP(A1194,收盤價!A:B,3,0)</f>
        <v>#REF!</v>
      </c>
      <c r="E1194" s="85">
        <v>-0.18965517241379309</v>
      </c>
      <c r="F1194">
        <v>24.57</v>
      </c>
    </row>
    <row r="1195" spans="1:6">
      <c r="A1195">
        <v>910482</v>
      </c>
      <c r="B1195" t="s">
        <v>1981</v>
      </c>
      <c r="C1195">
        <v>1.95</v>
      </c>
      <c r="D1195" t="e">
        <f>VLOOKUP(A1195,收盤價!A:B,3,0)</f>
        <v>#REF!</v>
      </c>
      <c r="E1195" s="85">
        <v>-0.18974358974358968</v>
      </c>
      <c r="F1195">
        <v>24.51</v>
      </c>
    </row>
    <row r="1196" spans="1:6">
      <c r="A1196">
        <v>1593</v>
      </c>
      <c r="B1196" t="s">
        <v>308</v>
      </c>
      <c r="C1196">
        <v>45.5</v>
      </c>
      <c r="D1196">
        <f>VLOOKUP(A1196,收盤價!A:C,3,0)</f>
        <v>38</v>
      </c>
      <c r="E1196" s="85">
        <v>-0.19010989010989007</v>
      </c>
      <c r="F1196">
        <v>24.45</v>
      </c>
    </row>
    <row r="1197" spans="1:6">
      <c r="A1197">
        <v>8046</v>
      </c>
      <c r="B1197" t="s">
        <v>1945</v>
      </c>
      <c r="C1197">
        <v>40.65</v>
      </c>
      <c r="D1197" t="e">
        <f>VLOOKUP(A1197,收盤價!A:B,3,0)</f>
        <v>#REF!</v>
      </c>
      <c r="E1197" s="85">
        <v>-0.19065190651906519</v>
      </c>
      <c r="F1197">
        <v>24.38</v>
      </c>
    </row>
    <row r="1198" spans="1:6">
      <c r="A1198">
        <v>6116</v>
      </c>
      <c r="B1198" t="s">
        <v>1867</v>
      </c>
      <c r="C1198">
        <v>5.35</v>
      </c>
      <c r="D1198" t="e">
        <f>VLOOKUP(A1198,收盤價!A:B,3,0)</f>
        <v>#REF!</v>
      </c>
      <c r="E1198" s="85">
        <v>-0.19065420560747656</v>
      </c>
      <c r="F1198">
        <v>24.32</v>
      </c>
    </row>
    <row r="1199" spans="1:6">
      <c r="A1199">
        <v>1595</v>
      </c>
      <c r="B1199" t="s">
        <v>2049</v>
      </c>
      <c r="C1199">
        <v>68</v>
      </c>
      <c r="D1199">
        <f>VLOOKUP(A1199,收盤價!A:C,3,0)</f>
        <v>51</v>
      </c>
      <c r="E1199" s="85">
        <v>-0.19117647058823528</v>
      </c>
      <c r="F1199">
        <v>24.26</v>
      </c>
    </row>
    <row r="1200" spans="1:6">
      <c r="A1200">
        <v>6154</v>
      </c>
      <c r="B1200" t="s">
        <v>499</v>
      </c>
      <c r="C1200">
        <v>20.9</v>
      </c>
      <c r="D1200" t="e">
        <f>VLOOKUP(A1200,收盤價!A:B,3,0)</f>
        <v>#REF!</v>
      </c>
      <c r="E1200" s="85">
        <v>-0.19138755980861244</v>
      </c>
      <c r="F1200">
        <v>24.19</v>
      </c>
    </row>
    <row r="1201" spans="1:6">
      <c r="A1201">
        <v>8155</v>
      </c>
      <c r="B1201" t="s">
        <v>2413</v>
      </c>
      <c r="C1201">
        <v>26.25</v>
      </c>
      <c r="D1201" t="e">
        <f>VLOOKUP(A1201,收盤價!A:B,3,0)</f>
        <v>#REF!</v>
      </c>
      <c r="E1201" s="85">
        <v>-0.1923809523809524</v>
      </c>
      <c r="F1201">
        <v>24.13</v>
      </c>
    </row>
    <row r="1202" spans="1:6">
      <c r="A1202">
        <v>4532</v>
      </c>
      <c r="B1202" t="s">
        <v>1798</v>
      </c>
      <c r="C1202">
        <v>29.6</v>
      </c>
      <c r="D1202" t="e">
        <f>VLOOKUP(A1202,收盤價!A:B,3,0)</f>
        <v>#REF!</v>
      </c>
      <c r="E1202" s="85">
        <v>-0.19256756756756765</v>
      </c>
      <c r="F1202">
        <v>24.07</v>
      </c>
    </row>
    <row r="1203" spans="1:6">
      <c r="A1203">
        <v>4161</v>
      </c>
      <c r="B1203" t="s">
        <v>2183</v>
      </c>
      <c r="C1203">
        <v>83</v>
      </c>
      <c r="D1203" t="e">
        <f>VLOOKUP(A1203,收盤價!A:B,3,0)</f>
        <v>#REF!</v>
      </c>
      <c r="E1203" s="85">
        <v>-0.19277108433734941</v>
      </c>
      <c r="F1203">
        <v>24.01</v>
      </c>
    </row>
    <row r="1204" spans="1:6">
      <c r="A1204">
        <v>1715</v>
      </c>
      <c r="B1204" t="s">
        <v>1313</v>
      </c>
      <c r="C1204">
        <v>17.25</v>
      </c>
      <c r="D1204">
        <f>VLOOKUP(A1204,收盤價!A:C,3,0)</f>
        <v>13.6</v>
      </c>
      <c r="E1204" s="85">
        <v>-0.19420289855072462</v>
      </c>
      <c r="F1204">
        <v>23.94</v>
      </c>
    </row>
    <row r="1205" spans="1:6">
      <c r="A1205">
        <v>1104</v>
      </c>
      <c r="B1205" t="s">
        <v>1153</v>
      </c>
      <c r="C1205">
        <v>26.95</v>
      </c>
      <c r="D1205">
        <f>VLOOKUP(A1205,收盤價!A:C,3,0)</f>
        <v>22.7</v>
      </c>
      <c r="E1205" s="85">
        <v>-0.19480519480519481</v>
      </c>
      <c r="F1205">
        <v>23.88</v>
      </c>
    </row>
    <row r="1206" spans="1:6">
      <c r="A1206">
        <v>3520</v>
      </c>
      <c r="B1206" t="s">
        <v>2132</v>
      </c>
      <c r="C1206">
        <v>108</v>
      </c>
      <c r="D1206" t="e">
        <f>VLOOKUP(A1206,收盤價!A:B,3,0)</f>
        <v>#REF!</v>
      </c>
      <c r="E1206" s="85">
        <v>-0.19537037037037031</v>
      </c>
      <c r="F1206">
        <v>23.82</v>
      </c>
    </row>
    <row r="1207" spans="1:6">
      <c r="A1207">
        <v>4534</v>
      </c>
      <c r="B1207" t="s">
        <v>2212</v>
      </c>
      <c r="C1207">
        <v>13.55</v>
      </c>
      <c r="D1207" t="e">
        <f>VLOOKUP(A1207,收盤價!A:B,3,0)</f>
        <v>#REF!</v>
      </c>
      <c r="E1207" s="85">
        <v>-0.19557195571955721</v>
      </c>
      <c r="F1207">
        <v>23.75</v>
      </c>
    </row>
    <row r="1208" spans="1:6">
      <c r="A1208">
        <v>2103</v>
      </c>
      <c r="B1208" t="s">
        <v>1382</v>
      </c>
      <c r="C1208">
        <v>29.1</v>
      </c>
      <c r="D1208">
        <f>VLOOKUP(A1208,收盤價!A:C,3,0)</f>
        <v>22.7</v>
      </c>
      <c r="E1208" s="85">
        <v>-0.1958762886597939</v>
      </c>
      <c r="F1208">
        <v>23.69</v>
      </c>
    </row>
    <row r="1209" spans="1:6">
      <c r="A1209">
        <v>6298</v>
      </c>
      <c r="B1209" t="s">
        <v>2373</v>
      </c>
      <c r="C1209">
        <v>20.100000000000001</v>
      </c>
      <c r="D1209" t="e">
        <f>VLOOKUP(A1209,收盤價!A:B,3,0)</f>
        <v>#REF!</v>
      </c>
      <c r="E1209" s="85">
        <v>-0.19651741293532352</v>
      </c>
      <c r="F1209">
        <v>23.63</v>
      </c>
    </row>
    <row r="1210" spans="1:6">
      <c r="A1210">
        <v>3498</v>
      </c>
      <c r="B1210" t="s">
        <v>2129</v>
      </c>
      <c r="C1210">
        <v>86.5</v>
      </c>
      <c r="D1210" t="e">
        <f>VLOOKUP(A1210,收盤價!A:B,3,0)</f>
        <v>#REF!</v>
      </c>
      <c r="E1210" s="85">
        <v>-0.19653179190751446</v>
      </c>
      <c r="F1210">
        <v>23.56</v>
      </c>
    </row>
    <row r="1211" spans="1:6">
      <c r="A1211">
        <v>3441</v>
      </c>
      <c r="B1211" t="s">
        <v>2122</v>
      </c>
      <c r="C1211">
        <v>15</v>
      </c>
      <c r="D1211" t="e">
        <f>VLOOKUP(A1211,收盤價!A:B,3,0)</f>
        <v>#REF!</v>
      </c>
      <c r="E1211" s="85">
        <v>-0.19666666666666663</v>
      </c>
      <c r="F1211">
        <v>23.5</v>
      </c>
    </row>
    <row r="1212" spans="1:6">
      <c r="A1212">
        <v>3698</v>
      </c>
      <c r="B1212" t="s">
        <v>1777</v>
      </c>
      <c r="C1212">
        <v>20.05</v>
      </c>
      <c r="D1212" t="e">
        <f>VLOOKUP(A1212,收盤價!A:B,3,0)</f>
        <v>#REF!</v>
      </c>
      <c r="E1212" s="85">
        <v>-0.19700748129675807</v>
      </c>
      <c r="F1212">
        <v>23.44</v>
      </c>
    </row>
    <row r="1213" spans="1:6">
      <c r="A1213">
        <v>2061</v>
      </c>
      <c r="B1213" t="s">
        <v>315</v>
      </c>
      <c r="C1213">
        <v>13.7</v>
      </c>
      <c r="D1213">
        <f>VLOOKUP(A1213,收盤價!A:C,3,0)</f>
        <v>11.45</v>
      </c>
      <c r="E1213" s="85">
        <v>-0.19708029197080287</v>
      </c>
      <c r="F1213">
        <v>23.37</v>
      </c>
    </row>
    <row r="1214" spans="1:6">
      <c r="A1214">
        <v>3260</v>
      </c>
      <c r="B1214" t="s">
        <v>2100</v>
      </c>
      <c r="C1214">
        <v>42.1</v>
      </c>
      <c r="D1214" t="e">
        <f>VLOOKUP(A1214,收盤價!A:B,3,0)</f>
        <v>#REF!</v>
      </c>
      <c r="E1214" s="85">
        <v>-0.19714964370546328</v>
      </c>
      <c r="F1214">
        <v>23.31</v>
      </c>
    </row>
    <row r="1215" spans="1:6">
      <c r="A1215">
        <v>2408</v>
      </c>
      <c r="B1215" t="s">
        <v>1472</v>
      </c>
      <c r="C1215">
        <v>51.7</v>
      </c>
      <c r="D1215" t="e">
        <f>VLOOKUP(A1215,收盤價!A:B,3,0)</f>
        <v>#REF!</v>
      </c>
      <c r="E1215" s="85">
        <v>-0.19729206963249521</v>
      </c>
      <c r="F1215">
        <v>23.25</v>
      </c>
    </row>
    <row r="1216" spans="1:6">
      <c r="A1216">
        <v>1608</v>
      </c>
      <c r="B1216" t="s">
        <v>1291</v>
      </c>
      <c r="C1216">
        <v>8.9499999999999993</v>
      </c>
      <c r="D1216">
        <f>VLOOKUP(A1216,收盤價!A:C,3,0)</f>
        <v>7.22</v>
      </c>
      <c r="E1216" s="85">
        <v>-0.19776536312849158</v>
      </c>
      <c r="F1216">
        <v>23.18</v>
      </c>
    </row>
    <row r="1217" spans="1:6">
      <c r="A1217">
        <v>2467</v>
      </c>
      <c r="B1217" t="s">
        <v>1519</v>
      </c>
      <c r="C1217">
        <v>18.2</v>
      </c>
      <c r="D1217" t="e">
        <f>VLOOKUP(A1217,收盤價!A:B,3,0)</f>
        <v>#REF!</v>
      </c>
      <c r="E1217" s="85">
        <v>-0.19780219780219779</v>
      </c>
      <c r="F1217">
        <v>23.12</v>
      </c>
    </row>
    <row r="1218" spans="1:6">
      <c r="A1218">
        <v>2890</v>
      </c>
      <c r="B1218" t="s">
        <v>1632</v>
      </c>
      <c r="C1218">
        <v>13.65</v>
      </c>
      <c r="D1218" t="e">
        <f>VLOOKUP(A1218,收盤價!A:B,3,0)</f>
        <v>#REF!</v>
      </c>
      <c r="E1218" s="85">
        <v>-0.19780219780219788</v>
      </c>
      <c r="F1218">
        <v>23.06</v>
      </c>
    </row>
    <row r="1219" spans="1:6">
      <c r="A1219">
        <v>6243</v>
      </c>
      <c r="B1219" t="s">
        <v>1910</v>
      </c>
      <c r="C1219">
        <v>21.2</v>
      </c>
      <c r="D1219" t="e">
        <f>VLOOKUP(A1219,收盤價!A:B,3,0)</f>
        <v>#REF!</v>
      </c>
      <c r="E1219" s="85">
        <v>-0.1981132075471698</v>
      </c>
      <c r="F1219">
        <v>22.99</v>
      </c>
    </row>
    <row r="1220" spans="1:6">
      <c r="A1220">
        <v>4960</v>
      </c>
      <c r="B1220" t="s">
        <v>1824</v>
      </c>
      <c r="C1220">
        <v>26.95</v>
      </c>
      <c r="D1220" t="e">
        <f>VLOOKUP(A1220,收盤價!A:B,3,0)</f>
        <v>#REF!</v>
      </c>
      <c r="E1220" s="85">
        <v>-0.19851576994434131</v>
      </c>
      <c r="F1220">
        <v>22.93</v>
      </c>
    </row>
    <row r="1221" spans="1:6">
      <c r="A1221">
        <v>5426</v>
      </c>
      <c r="B1221" t="s">
        <v>472</v>
      </c>
      <c r="C1221">
        <v>13.6</v>
      </c>
      <c r="D1221" t="e">
        <f>VLOOKUP(A1221,收盤價!A:B,3,0)</f>
        <v>#REF!</v>
      </c>
      <c r="E1221" s="85">
        <v>-0.19852941176470584</v>
      </c>
      <c r="F1221">
        <v>22.87</v>
      </c>
    </row>
    <row r="1222" spans="1:6">
      <c r="A1222">
        <v>8111</v>
      </c>
      <c r="B1222" t="s">
        <v>2410</v>
      </c>
      <c r="C1222">
        <v>5.87</v>
      </c>
      <c r="D1222" t="e">
        <f>VLOOKUP(A1222,收盤價!A:B,3,0)</f>
        <v>#REF!</v>
      </c>
      <c r="E1222" s="85">
        <v>-0.19931856899488926</v>
      </c>
      <c r="F1222">
        <v>22.8</v>
      </c>
    </row>
    <row r="1223" spans="1:6">
      <c r="A1223">
        <v>2402</v>
      </c>
      <c r="B1223" t="s">
        <v>1468</v>
      </c>
      <c r="C1223">
        <v>25.25</v>
      </c>
      <c r="D1223" t="e">
        <f>VLOOKUP(A1223,收盤價!A:B,3,0)</f>
        <v>#REF!</v>
      </c>
      <c r="E1223" s="85">
        <v>-0.20000000000000004</v>
      </c>
      <c r="F1223">
        <v>22.74</v>
      </c>
    </row>
    <row r="1224" spans="1:6">
      <c r="A1224">
        <v>4908</v>
      </c>
      <c r="B1224" t="s">
        <v>2228</v>
      </c>
      <c r="C1224">
        <v>23.4</v>
      </c>
      <c r="D1224" t="e">
        <f>VLOOKUP(A1224,收盤價!A:B,3,0)</f>
        <v>#REF!</v>
      </c>
      <c r="E1224" s="85">
        <v>-0.20085470085470084</v>
      </c>
      <c r="F1224">
        <v>22.68</v>
      </c>
    </row>
    <row r="1225" spans="1:6">
      <c r="A1225">
        <v>2354</v>
      </c>
      <c r="B1225" t="s">
        <v>1433</v>
      </c>
      <c r="C1225">
        <v>112</v>
      </c>
      <c r="D1225" t="e">
        <f>VLOOKUP(A1225,收盤價!A:B,3,0)</f>
        <v>#REF!</v>
      </c>
      <c r="E1225" s="85">
        <v>-0.20089285714285715</v>
      </c>
      <c r="F1225">
        <v>22.62</v>
      </c>
    </row>
    <row r="1226" spans="1:6">
      <c r="A1226">
        <v>8011</v>
      </c>
      <c r="B1226" t="s">
        <v>1940</v>
      </c>
      <c r="C1226">
        <v>31.1</v>
      </c>
      <c r="D1226" t="e">
        <f>VLOOKUP(A1226,收盤價!A:B,3,0)</f>
        <v>#REF!</v>
      </c>
      <c r="E1226" s="85">
        <v>-0.20096463022508038</v>
      </c>
      <c r="F1226">
        <v>22.55</v>
      </c>
    </row>
    <row r="1227" spans="1:6">
      <c r="A1227">
        <v>5328</v>
      </c>
      <c r="B1227" t="s">
        <v>2263</v>
      </c>
      <c r="C1227">
        <v>5.67</v>
      </c>
      <c r="D1227" t="e">
        <f>VLOOKUP(A1227,收盤價!A:B,3,0)</f>
        <v>#REF!</v>
      </c>
      <c r="E1227" s="85">
        <v>-0.20105820105820099</v>
      </c>
      <c r="F1227">
        <v>22.49</v>
      </c>
    </row>
    <row r="1228" spans="1:6">
      <c r="A1228">
        <v>3202</v>
      </c>
      <c r="B1228" t="s">
        <v>2090</v>
      </c>
      <c r="C1228">
        <v>8.1</v>
      </c>
      <c r="D1228" t="e">
        <f>VLOOKUP(A1228,收盤價!A:B,3,0)</f>
        <v>#REF!</v>
      </c>
      <c r="E1228" s="85">
        <v>-0.20123456790123456</v>
      </c>
      <c r="F1228">
        <v>22.43</v>
      </c>
    </row>
    <row r="1229" spans="1:6">
      <c r="A1229">
        <v>2397</v>
      </c>
      <c r="B1229" t="s">
        <v>1465</v>
      </c>
      <c r="C1229">
        <v>47.2</v>
      </c>
      <c r="D1229" t="e">
        <f>VLOOKUP(A1229,收盤價!A:B,3,0)</f>
        <v>#REF!</v>
      </c>
      <c r="E1229" s="85">
        <v>-0.20127118644067796</v>
      </c>
      <c r="F1229">
        <v>22.36</v>
      </c>
    </row>
    <row r="1230" spans="1:6">
      <c r="A1230">
        <v>2455</v>
      </c>
      <c r="B1230" t="s">
        <v>1508</v>
      </c>
      <c r="C1230">
        <v>50</v>
      </c>
      <c r="D1230" t="e">
        <f>VLOOKUP(A1230,收盤價!A:B,3,0)</f>
        <v>#REF!</v>
      </c>
      <c r="E1230" s="85">
        <v>-0.20200000000000004</v>
      </c>
      <c r="F1230">
        <v>22.3</v>
      </c>
    </row>
    <row r="1231" spans="1:6">
      <c r="A1231">
        <v>5487</v>
      </c>
      <c r="B1231" t="s">
        <v>481</v>
      </c>
      <c r="C1231">
        <v>24.7</v>
      </c>
      <c r="D1231" t="e">
        <f>VLOOKUP(A1231,收盤價!A:B,3,0)</f>
        <v>#REF!</v>
      </c>
      <c r="E1231" s="85">
        <v>-0.20242914979757085</v>
      </c>
      <c r="F1231">
        <v>22.24</v>
      </c>
    </row>
    <row r="1232" spans="1:6">
      <c r="A1232">
        <v>8150</v>
      </c>
      <c r="B1232" t="s">
        <v>1956</v>
      </c>
      <c r="C1232">
        <v>41</v>
      </c>
      <c r="D1232" t="e">
        <f>VLOOKUP(A1232,收盤價!A:B,3,0)</f>
        <v>#REF!</v>
      </c>
      <c r="E1232" s="85">
        <v>-0.20243902439024383</v>
      </c>
      <c r="F1232">
        <v>22.17</v>
      </c>
    </row>
    <row r="1233" spans="1:6">
      <c r="A1233">
        <v>2451</v>
      </c>
      <c r="B1233" t="s">
        <v>1505</v>
      </c>
      <c r="C1233">
        <v>113.5</v>
      </c>
      <c r="D1233" t="e">
        <f>VLOOKUP(A1233,收盤價!A:B,3,0)</f>
        <v>#REF!</v>
      </c>
      <c r="E1233" s="85">
        <v>-0.20264317180616739</v>
      </c>
      <c r="F1233">
        <v>22.11</v>
      </c>
    </row>
    <row r="1234" spans="1:6">
      <c r="A1234">
        <v>6121</v>
      </c>
      <c r="B1234" t="s">
        <v>495</v>
      </c>
      <c r="C1234">
        <v>143</v>
      </c>
      <c r="D1234" t="e">
        <f>VLOOKUP(A1234,收盤價!A:B,3,0)</f>
        <v>#REF!</v>
      </c>
      <c r="E1234" s="85">
        <v>-0.20279720279720279</v>
      </c>
      <c r="F1234">
        <v>22.05</v>
      </c>
    </row>
    <row r="1235" spans="1:6">
      <c r="A1235">
        <v>8183</v>
      </c>
      <c r="B1235" t="s">
        <v>2417</v>
      </c>
      <c r="C1235">
        <v>6.87</v>
      </c>
      <c r="D1235" t="e">
        <f>VLOOKUP(A1235,收盤價!A:B,3,0)</f>
        <v>#REF!</v>
      </c>
      <c r="E1235" s="85">
        <v>-0.20378457059679772</v>
      </c>
      <c r="F1235">
        <v>21.98</v>
      </c>
    </row>
    <row r="1236" spans="1:6">
      <c r="A1236">
        <v>6226</v>
      </c>
      <c r="B1236" t="s">
        <v>1906</v>
      </c>
      <c r="C1236">
        <v>7.85</v>
      </c>
      <c r="D1236" t="e">
        <f>VLOOKUP(A1236,收盤價!A:B,3,0)</f>
        <v>#REF!</v>
      </c>
      <c r="E1236" s="85">
        <v>-0.20382165605095537</v>
      </c>
      <c r="F1236">
        <v>21.92</v>
      </c>
    </row>
    <row r="1237" spans="1:6">
      <c r="A1237">
        <v>6175</v>
      </c>
      <c r="B1237" t="s">
        <v>505</v>
      </c>
      <c r="C1237">
        <v>15.7</v>
      </c>
      <c r="D1237" t="e">
        <f>VLOOKUP(A1237,收盤價!A:B,3,0)</f>
        <v>#REF!</v>
      </c>
      <c r="E1237" s="85">
        <v>-0.20382165605095537</v>
      </c>
      <c r="F1237">
        <v>21.86</v>
      </c>
    </row>
    <row r="1238" spans="1:6">
      <c r="A1238">
        <v>3066</v>
      </c>
      <c r="B1238" t="s">
        <v>2072</v>
      </c>
      <c r="C1238">
        <v>8.73</v>
      </c>
      <c r="D1238" t="e">
        <f>VLOOKUP(A1238,收盤價!A:B,3,0)</f>
        <v>#REF!</v>
      </c>
      <c r="E1238" s="85">
        <v>-0.20389461626575031</v>
      </c>
      <c r="F1238">
        <v>21.79</v>
      </c>
    </row>
    <row r="1239" spans="1:6">
      <c r="A1239">
        <v>9906</v>
      </c>
      <c r="B1239" t="s">
        <v>2006</v>
      </c>
      <c r="C1239">
        <v>25.5</v>
      </c>
      <c r="D1239" t="e">
        <f>VLOOKUP(A1239,收盤價!A:B,3,0)</f>
        <v>#REF!</v>
      </c>
      <c r="E1239" s="85">
        <v>-0.20392156862745095</v>
      </c>
      <c r="F1239">
        <v>21.73</v>
      </c>
    </row>
    <row r="1240" spans="1:6">
      <c r="A1240">
        <v>4977</v>
      </c>
      <c r="B1240" t="s">
        <v>1826</v>
      </c>
      <c r="C1240">
        <v>74</v>
      </c>
      <c r="D1240" t="e">
        <f>VLOOKUP(A1240,收盤價!A:B,3,0)</f>
        <v>#REF!</v>
      </c>
      <c r="E1240" s="85">
        <v>-0.20405405405405408</v>
      </c>
      <c r="F1240">
        <v>21.67</v>
      </c>
    </row>
    <row r="1241" spans="1:6">
      <c r="A1241">
        <v>9945</v>
      </c>
      <c r="B1241" t="s">
        <v>2036</v>
      </c>
      <c r="C1241">
        <v>48.8</v>
      </c>
      <c r="D1241" t="e">
        <f>VLOOKUP(A1241,收盤價!A:B,3,0)</f>
        <v>#REF!</v>
      </c>
      <c r="E1241" s="85">
        <v>-0.20491803278688525</v>
      </c>
      <c r="F1241">
        <v>21.6</v>
      </c>
    </row>
    <row r="1242" spans="1:6">
      <c r="A1242">
        <v>2617</v>
      </c>
      <c r="B1242" t="s">
        <v>1586</v>
      </c>
      <c r="C1242">
        <v>17.3</v>
      </c>
      <c r="D1242" t="e">
        <f>VLOOKUP(A1242,收盤價!A:B,3,0)</f>
        <v>#REF!</v>
      </c>
      <c r="E1242" s="85">
        <v>-0.20520231213872836</v>
      </c>
      <c r="F1242">
        <v>21.54</v>
      </c>
    </row>
    <row r="1243" spans="1:6">
      <c r="A1243">
        <v>1442</v>
      </c>
      <c r="B1243" t="s">
        <v>1219</v>
      </c>
      <c r="C1243">
        <v>23.6</v>
      </c>
      <c r="D1243">
        <f>VLOOKUP(A1243,收盤價!A:C,3,0)</f>
        <v>18.8</v>
      </c>
      <c r="E1243" s="85">
        <v>-0.20550847457627122</v>
      </c>
      <c r="F1243">
        <v>21.48</v>
      </c>
    </row>
    <row r="1244" spans="1:6">
      <c r="A1244">
        <v>3152</v>
      </c>
      <c r="B1244" t="s">
        <v>2085</v>
      </c>
      <c r="C1244">
        <v>262.5</v>
      </c>
      <c r="D1244" t="e">
        <f>VLOOKUP(A1244,收盤價!A:B,3,0)</f>
        <v>#REF!</v>
      </c>
      <c r="E1244" s="85">
        <v>-0.20571428571428571</v>
      </c>
      <c r="F1244">
        <v>21.42</v>
      </c>
    </row>
    <row r="1245" spans="1:6">
      <c r="A1245">
        <v>2816</v>
      </c>
      <c r="B1245" t="s">
        <v>1605</v>
      </c>
      <c r="C1245">
        <v>23.2</v>
      </c>
      <c r="D1245" t="e">
        <f>VLOOKUP(A1245,收盤價!A:B,3,0)</f>
        <v>#REF!</v>
      </c>
      <c r="E1245" s="85">
        <v>-0.20689655172413796</v>
      </c>
      <c r="F1245">
        <v>21.35</v>
      </c>
    </row>
    <row r="1246" spans="1:6">
      <c r="A1246">
        <v>6294</v>
      </c>
      <c r="B1246" t="s">
        <v>2372</v>
      </c>
      <c r="C1246">
        <v>147</v>
      </c>
      <c r="D1246" t="e">
        <f>VLOOKUP(A1246,收盤價!A:B,3,0)</f>
        <v>#REF!</v>
      </c>
      <c r="E1246" s="85">
        <v>-0.20748299319727892</v>
      </c>
      <c r="F1246">
        <v>21.29</v>
      </c>
    </row>
    <row r="1247" spans="1:6">
      <c r="A1247">
        <v>3581</v>
      </c>
      <c r="B1247" t="s">
        <v>2148</v>
      </c>
      <c r="C1247">
        <v>19.5</v>
      </c>
      <c r="D1247" t="e">
        <f>VLOOKUP(A1247,收盤價!A:B,3,0)</f>
        <v>#REF!</v>
      </c>
      <c r="E1247" s="85">
        <v>-0.20769230769230773</v>
      </c>
      <c r="F1247">
        <v>21.23</v>
      </c>
    </row>
    <row r="1248" spans="1:6">
      <c r="A1248">
        <v>5351</v>
      </c>
      <c r="B1248" t="s">
        <v>2268</v>
      </c>
      <c r="C1248">
        <v>18.05</v>
      </c>
      <c r="D1248" t="e">
        <f>VLOOKUP(A1248,收盤價!A:B,3,0)</f>
        <v>#REF!</v>
      </c>
      <c r="E1248" s="85">
        <v>-0.2077562326869806</v>
      </c>
      <c r="F1248">
        <v>21.16</v>
      </c>
    </row>
    <row r="1249" spans="1:6">
      <c r="A1249">
        <v>3083</v>
      </c>
      <c r="B1249" t="s">
        <v>2077</v>
      </c>
      <c r="C1249">
        <v>51.7</v>
      </c>
      <c r="D1249" t="e">
        <f>VLOOKUP(A1249,收盤價!A:B,3,0)</f>
        <v>#REF!</v>
      </c>
      <c r="E1249" s="85">
        <v>-0.20793036750483557</v>
      </c>
      <c r="F1249">
        <v>21.1</v>
      </c>
    </row>
    <row r="1250" spans="1:6">
      <c r="A1250">
        <v>6188</v>
      </c>
      <c r="B1250" t="s">
        <v>2344</v>
      </c>
      <c r="C1250">
        <v>28.85</v>
      </c>
      <c r="D1250" t="e">
        <f>VLOOKUP(A1250,收盤價!A:B,3,0)</f>
        <v>#REF!</v>
      </c>
      <c r="E1250" s="85">
        <v>-0.20797227036395147</v>
      </c>
      <c r="F1250">
        <v>21.04</v>
      </c>
    </row>
    <row r="1251" spans="1:6">
      <c r="A1251">
        <v>8050</v>
      </c>
      <c r="B1251" t="s">
        <v>2391</v>
      </c>
      <c r="C1251">
        <v>62.4</v>
      </c>
      <c r="D1251" t="e">
        <f>VLOOKUP(A1251,收盤價!A:B,3,0)</f>
        <v>#REF!</v>
      </c>
      <c r="E1251" s="85">
        <v>-0.20833333333333334</v>
      </c>
      <c r="F1251">
        <v>20.97</v>
      </c>
    </row>
    <row r="1252" spans="1:6">
      <c r="A1252">
        <v>3685</v>
      </c>
      <c r="B1252" t="s">
        <v>2162</v>
      </c>
      <c r="C1252">
        <v>61.9</v>
      </c>
      <c r="D1252" t="e">
        <f>VLOOKUP(A1252,收盤價!A:B,3,0)</f>
        <v>#REF!</v>
      </c>
      <c r="E1252" s="85">
        <v>-0.20840064620355411</v>
      </c>
      <c r="F1252">
        <v>20.91</v>
      </c>
    </row>
    <row r="1253" spans="1:6">
      <c r="A1253">
        <v>2724</v>
      </c>
      <c r="B1253" t="s">
        <v>2064</v>
      </c>
      <c r="C1253">
        <v>20.85</v>
      </c>
      <c r="D1253" t="e">
        <f>VLOOKUP(A1253,收盤價!A:B,3,0)</f>
        <v>#REF!</v>
      </c>
      <c r="E1253" s="85">
        <v>-0.20863309352517992</v>
      </c>
      <c r="F1253">
        <v>20.85</v>
      </c>
    </row>
    <row r="1254" spans="1:6">
      <c r="A1254">
        <v>6108</v>
      </c>
      <c r="B1254" t="s">
        <v>1864</v>
      </c>
      <c r="C1254">
        <v>17</v>
      </c>
      <c r="D1254" t="e">
        <f>VLOOKUP(A1254,收盤價!A:B,3,0)</f>
        <v>#REF!</v>
      </c>
      <c r="E1254" s="85">
        <v>-0.20882352941176474</v>
      </c>
      <c r="F1254">
        <v>20.78</v>
      </c>
    </row>
    <row r="1255" spans="1:6">
      <c r="A1255">
        <v>2028</v>
      </c>
      <c r="B1255" t="s">
        <v>1369</v>
      </c>
      <c r="C1255">
        <v>1.77</v>
      </c>
      <c r="D1255">
        <f>VLOOKUP(A1255,收盤價!A:C,3,0)</f>
        <v>1.4</v>
      </c>
      <c r="E1255" s="85">
        <v>-0.20903954802259891</v>
      </c>
      <c r="F1255">
        <v>20.72</v>
      </c>
    </row>
    <row r="1256" spans="1:6">
      <c r="A1256">
        <v>3026</v>
      </c>
      <c r="B1256" t="s">
        <v>1669</v>
      </c>
      <c r="C1256">
        <v>42.3</v>
      </c>
      <c r="D1256" t="e">
        <f>VLOOKUP(A1256,收盤價!A:B,3,0)</f>
        <v>#REF!</v>
      </c>
      <c r="E1256" s="85">
        <v>-0.20921985815602825</v>
      </c>
      <c r="F1256">
        <v>20.66</v>
      </c>
    </row>
    <row r="1257" spans="1:6">
      <c r="A1257">
        <v>2493</v>
      </c>
      <c r="B1257" t="s">
        <v>1538</v>
      </c>
      <c r="C1257">
        <v>27</v>
      </c>
      <c r="D1257" t="e">
        <f>VLOOKUP(A1257,收盤價!A:B,3,0)</f>
        <v>#REF!</v>
      </c>
      <c r="E1257" s="85">
        <v>-0.2092592592592592</v>
      </c>
      <c r="F1257">
        <v>20.59</v>
      </c>
    </row>
    <row r="1258" spans="1:6">
      <c r="A1258">
        <v>6248</v>
      </c>
      <c r="B1258" t="s">
        <v>526</v>
      </c>
      <c r="C1258">
        <v>29.85</v>
      </c>
      <c r="D1258" t="e">
        <f>VLOOKUP(A1258,收盤價!A:B,3,0)</f>
        <v>#REF!</v>
      </c>
      <c r="E1258" s="85">
        <v>-0.20938023450586263</v>
      </c>
      <c r="F1258">
        <v>20.53</v>
      </c>
    </row>
    <row r="1259" spans="1:6">
      <c r="A1259">
        <v>2885</v>
      </c>
      <c r="B1259" t="s">
        <v>1627</v>
      </c>
      <c r="C1259">
        <v>16.7</v>
      </c>
      <c r="D1259" t="e">
        <f>VLOOKUP(A1259,收盤價!A:B,3,0)</f>
        <v>#REF!</v>
      </c>
      <c r="E1259" s="85">
        <v>-0.20958083832335331</v>
      </c>
      <c r="F1259">
        <v>20.47</v>
      </c>
    </row>
    <row r="1260" spans="1:6">
      <c r="A1260">
        <v>1726</v>
      </c>
      <c r="B1260" t="s">
        <v>1322</v>
      </c>
      <c r="C1260">
        <v>83</v>
      </c>
      <c r="D1260">
        <f>VLOOKUP(A1260,收盤價!A:C,3,0)</f>
        <v>69</v>
      </c>
      <c r="E1260" s="85">
        <v>-0.20963855421686753</v>
      </c>
      <c r="F1260">
        <v>20.399999999999999</v>
      </c>
    </row>
    <row r="1261" spans="1:6">
      <c r="A1261">
        <v>3259</v>
      </c>
      <c r="B1261" t="s">
        <v>2099</v>
      </c>
      <c r="C1261">
        <v>35.450000000000003</v>
      </c>
      <c r="D1261" t="e">
        <f>VLOOKUP(A1261,收盤價!A:B,3,0)</f>
        <v>#REF!</v>
      </c>
      <c r="E1261" s="85">
        <v>-0.21015514809590979</v>
      </c>
      <c r="F1261">
        <v>20.34</v>
      </c>
    </row>
    <row r="1262" spans="1:6">
      <c r="A1262">
        <v>3362</v>
      </c>
      <c r="B1262" t="s">
        <v>2116</v>
      </c>
      <c r="C1262">
        <v>20.2</v>
      </c>
      <c r="D1262" t="e">
        <f>VLOOKUP(A1262,收盤價!A:B,3,0)</f>
        <v>#REF!</v>
      </c>
      <c r="E1262" s="85">
        <v>-0.21039603960396042</v>
      </c>
      <c r="F1262">
        <v>20.28</v>
      </c>
    </row>
    <row r="1263" spans="1:6">
      <c r="A1263">
        <v>1711</v>
      </c>
      <c r="B1263" t="s">
        <v>1309</v>
      </c>
      <c r="C1263">
        <v>24</v>
      </c>
      <c r="D1263">
        <f>VLOOKUP(A1263,收盤價!A:C,3,0)</f>
        <v>18.55</v>
      </c>
      <c r="E1263" s="85">
        <v>-0.2104166666666667</v>
      </c>
      <c r="F1263">
        <v>20.21</v>
      </c>
    </row>
    <row r="1264" spans="1:6">
      <c r="A1264">
        <v>4541</v>
      </c>
      <c r="B1264" t="s">
        <v>2214</v>
      </c>
      <c r="C1264">
        <v>38.9</v>
      </c>
      <c r="D1264" t="e">
        <f>VLOOKUP(A1264,收盤價!A:B,3,0)</f>
        <v>#REF!</v>
      </c>
      <c r="E1264" s="85">
        <v>-0.21079691516709512</v>
      </c>
      <c r="F1264">
        <v>20.149999999999999</v>
      </c>
    </row>
    <row r="1265" spans="1:6">
      <c r="A1265">
        <v>6265</v>
      </c>
      <c r="B1265" t="s">
        <v>531</v>
      </c>
      <c r="C1265">
        <v>9.06</v>
      </c>
      <c r="D1265" t="e">
        <f>VLOOKUP(A1265,收盤價!A:B,3,0)</f>
        <v>#REF!</v>
      </c>
      <c r="E1265" s="85">
        <v>-0.2108167770419426</v>
      </c>
      <c r="F1265">
        <v>20.09</v>
      </c>
    </row>
    <row r="1266" spans="1:6">
      <c r="A1266">
        <v>2465</v>
      </c>
      <c r="B1266" t="s">
        <v>1517</v>
      </c>
      <c r="C1266">
        <v>11.25</v>
      </c>
      <c r="D1266" t="e">
        <f>VLOOKUP(A1266,收盤價!A:B,3,0)</f>
        <v>#REF!</v>
      </c>
      <c r="E1266" s="85">
        <v>-0.21244444444444449</v>
      </c>
      <c r="F1266">
        <v>20.03</v>
      </c>
    </row>
    <row r="1267" spans="1:6">
      <c r="A1267">
        <v>3529</v>
      </c>
      <c r="B1267" t="s">
        <v>381</v>
      </c>
      <c r="C1267">
        <v>416.5</v>
      </c>
      <c r="D1267" t="e">
        <f>VLOOKUP(A1267,收盤價!A:B,3,0)</f>
        <v>#REF!</v>
      </c>
      <c r="E1267" s="85">
        <v>-0.21248499399759904</v>
      </c>
      <c r="F1267">
        <v>19.96</v>
      </c>
    </row>
    <row r="1268" spans="1:6">
      <c r="A1268">
        <v>2382</v>
      </c>
      <c r="B1268" t="s">
        <v>1456</v>
      </c>
      <c r="C1268">
        <v>73</v>
      </c>
      <c r="D1268" t="e">
        <f>VLOOKUP(A1268,收盤價!A:B,3,0)</f>
        <v>#REF!</v>
      </c>
      <c r="E1268" s="85">
        <v>-0.21369863013698631</v>
      </c>
      <c r="F1268">
        <v>19.899999999999999</v>
      </c>
    </row>
    <row r="1269" spans="1:6">
      <c r="A1269">
        <v>5530</v>
      </c>
      <c r="B1269" t="s">
        <v>2298</v>
      </c>
      <c r="C1269">
        <v>80</v>
      </c>
      <c r="D1269" t="e">
        <f>VLOOKUP(A1269,收盤價!A:B,3,0)</f>
        <v>#REF!</v>
      </c>
      <c r="E1269" s="85">
        <v>-0.21375000000000002</v>
      </c>
      <c r="F1269">
        <v>19.84</v>
      </c>
    </row>
    <row r="1270" spans="1:6">
      <c r="A1270">
        <v>1537</v>
      </c>
      <c r="B1270" t="s">
        <v>1275</v>
      </c>
      <c r="C1270">
        <v>152</v>
      </c>
      <c r="D1270">
        <f>VLOOKUP(A1270,收盤價!A:C,3,0)</f>
        <v>117</v>
      </c>
      <c r="E1270" s="85">
        <v>-0.21381578947368421</v>
      </c>
      <c r="F1270">
        <v>19.77</v>
      </c>
    </row>
    <row r="1271" spans="1:6">
      <c r="A1271">
        <v>2540</v>
      </c>
      <c r="B1271" t="s">
        <v>1564</v>
      </c>
      <c r="C1271">
        <v>35</v>
      </c>
      <c r="D1271" t="e">
        <f>VLOOKUP(A1271,收盤價!A:B,3,0)</f>
        <v>#REF!</v>
      </c>
      <c r="E1271" s="85">
        <v>-0.21428571428571427</v>
      </c>
      <c r="F1271">
        <v>19.71</v>
      </c>
    </row>
    <row r="1272" spans="1:6">
      <c r="A1272">
        <v>2499</v>
      </c>
      <c r="B1272" t="s">
        <v>1543</v>
      </c>
      <c r="C1272">
        <v>23.25</v>
      </c>
      <c r="D1272" t="e">
        <f>VLOOKUP(A1272,收盤價!A:B,3,0)</f>
        <v>#REF!</v>
      </c>
      <c r="E1272" s="85">
        <v>-0.21505376344086022</v>
      </c>
      <c r="F1272">
        <v>19.649999999999999</v>
      </c>
    </row>
    <row r="1273" spans="1:6">
      <c r="A1273">
        <v>3268</v>
      </c>
      <c r="B1273" t="s">
        <v>350</v>
      </c>
      <c r="C1273">
        <v>18.600000000000001</v>
      </c>
      <c r="D1273" t="e">
        <f>VLOOKUP(A1273,收盤價!A:B,3,0)</f>
        <v>#REF!</v>
      </c>
      <c r="E1273" s="85">
        <v>-0.2150537634408603</v>
      </c>
      <c r="F1273">
        <v>19.579999999999998</v>
      </c>
    </row>
    <row r="1274" spans="1:6">
      <c r="A1274">
        <v>6197</v>
      </c>
      <c r="B1274" t="s">
        <v>1894</v>
      </c>
      <c r="C1274">
        <v>41.15</v>
      </c>
      <c r="D1274" t="e">
        <f>VLOOKUP(A1274,收盤價!A:B,3,0)</f>
        <v>#REF!</v>
      </c>
      <c r="E1274" s="85">
        <v>-0.21506682867557719</v>
      </c>
      <c r="F1274">
        <v>19.52</v>
      </c>
    </row>
    <row r="1275" spans="1:6">
      <c r="A1275">
        <v>2612</v>
      </c>
      <c r="B1275" t="s">
        <v>1581</v>
      </c>
      <c r="C1275">
        <v>29.45</v>
      </c>
      <c r="D1275" t="e">
        <f>VLOOKUP(A1275,收盤價!A:B,3,0)</f>
        <v>#REF!</v>
      </c>
      <c r="E1275" s="85">
        <v>-0.21561969439728346</v>
      </c>
      <c r="F1275">
        <v>19.46</v>
      </c>
    </row>
    <row r="1276" spans="1:6">
      <c r="A1276">
        <v>6115</v>
      </c>
      <c r="B1276" t="s">
        <v>1866</v>
      </c>
      <c r="C1276">
        <v>41.75</v>
      </c>
      <c r="D1276" t="e">
        <f>VLOOKUP(A1276,收盤價!A:B,3,0)</f>
        <v>#REF!</v>
      </c>
      <c r="E1276" s="85">
        <v>-0.21676646706586819</v>
      </c>
      <c r="F1276">
        <v>19.39</v>
      </c>
    </row>
    <row r="1277" spans="1:6">
      <c r="A1277">
        <v>3064</v>
      </c>
      <c r="B1277" t="s">
        <v>2071</v>
      </c>
      <c r="C1277">
        <v>30.2</v>
      </c>
      <c r="D1277" t="e">
        <f>VLOOKUP(A1277,收盤價!A:B,3,0)</f>
        <v>#REF!</v>
      </c>
      <c r="E1277" s="85">
        <v>-0.21688741721854307</v>
      </c>
      <c r="F1277">
        <v>19.329999999999998</v>
      </c>
    </row>
    <row r="1278" spans="1:6">
      <c r="A1278">
        <v>2883</v>
      </c>
      <c r="B1278" t="s">
        <v>1625</v>
      </c>
      <c r="C1278">
        <v>11.7</v>
      </c>
      <c r="D1278" t="e">
        <f>VLOOKUP(A1278,收盤價!A:B,3,0)</f>
        <v>#REF!</v>
      </c>
      <c r="E1278" s="85">
        <v>-0.21794871794871787</v>
      </c>
      <c r="F1278">
        <v>19.27</v>
      </c>
    </row>
    <row r="1279" spans="1:6">
      <c r="A1279">
        <v>8374</v>
      </c>
      <c r="B1279" t="s">
        <v>1967</v>
      </c>
      <c r="C1279">
        <v>15.6</v>
      </c>
      <c r="D1279" t="e">
        <f>VLOOKUP(A1279,收盤價!A:B,3,0)</f>
        <v>#REF!</v>
      </c>
      <c r="E1279" s="85">
        <v>-0.21794871794871798</v>
      </c>
      <c r="F1279">
        <v>19.2</v>
      </c>
    </row>
    <row r="1280" spans="1:6">
      <c r="A1280">
        <v>2891</v>
      </c>
      <c r="B1280" t="s">
        <v>1633</v>
      </c>
      <c r="C1280">
        <v>24.3</v>
      </c>
      <c r="D1280" t="e">
        <f>VLOOKUP(A1280,收盤價!A:B,3,0)</f>
        <v>#REF!</v>
      </c>
      <c r="E1280" s="85">
        <v>-0.2181069958847737</v>
      </c>
      <c r="F1280">
        <v>19.14</v>
      </c>
    </row>
    <row r="1281" spans="1:6">
      <c r="A1281">
        <v>6257</v>
      </c>
      <c r="B1281" t="s">
        <v>1912</v>
      </c>
      <c r="C1281">
        <v>27.9</v>
      </c>
      <c r="D1281" t="e">
        <f>VLOOKUP(A1281,收盤價!A:B,3,0)</f>
        <v>#REF!</v>
      </c>
      <c r="E1281" s="85">
        <v>-0.21863799283154114</v>
      </c>
      <c r="F1281">
        <v>19.079999999999998</v>
      </c>
    </row>
    <row r="1282" spans="1:6">
      <c r="A1282">
        <v>4163</v>
      </c>
      <c r="B1282" t="s">
        <v>2184</v>
      </c>
      <c r="C1282">
        <v>137</v>
      </c>
      <c r="D1282" t="e">
        <f>VLOOKUP(A1282,收盤價!A:B,3,0)</f>
        <v>#REF!</v>
      </c>
      <c r="E1282" s="85">
        <v>-0.21897810218978103</v>
      </c>
      <c r="F1282">
        <v>19.010000000000002</v>
      </c>
    </row>
    <row r="1283" spans="1:6">
      <c r="A1283">
        <v>6284</v>
      </c>
      <c r="B1283" t="s">
        <v>2368</v>
      </c>
      <c r="C1283">
        <v>35.5</v>
      </c>
      <c r="D1283" t="e">
        <f>VLOOKUP(A1283,收盤價!A:B,3,0)</f>
        <v>#REF!</v>
      </c>
      <c r="E1283" s="85">
        <v>-0.21971830985915494</v>
      </c>
      <c r="F1283">
        <v>18.95</v>
      </c>
    </row>
    <row r="1284" spans="1:6">
      <c r="A1284">
        <v>2535</v>
      </c>
      <c r="B1284" t="s">
        <v>1559</v>
      </c>
      <c r="C1284">
        <v>19.05</v>
      </c>
      <c r="D1284" t="e">
        <f>VLOOKUP(A1284,收盤價!A:B,3,0)</f>
        <v>#REF!</v>
      </c>
      <c r="E1284" s="85">
        <v>-0.22047244094488194</v>
      </c>
      <c r="F1284">
        <v>18.89</v>
      </c>
    </row>
    <row r="1285" spans="1:6">
      <c r="A1285">
        <v>3122</v>
      </c>
      <c r="B1285" t="s">
        <v>2082</v>
      </c>
      <c r="C1285">
        <v>20.149999999999999</v>
      </c>
      <c r="D1285" t="e">
        <f>VLOOKUP(A1285,收盤價!A:B,3,0)</f>
        <v>#REF!</v>
      </c>
      <c r="E1285" s="85">
        <v>-0.22084367245657566</v>
      </c>
      <c r="F1285">
        <v>18.829999999999998</v>
      </c>
    </row>
    <row r="1286" spans="1:6">
      <c r="A1286">
        <v>4987</v>
      </c>
      <c r="B1286" t="s">
        <v>2238</v>
      </c>
      <c r="C1286">
        <v>85.1</v>
      </c>
      <c r="D1286" t="e">
        <f>VLOOKUP(A1286,收盤價!A:B,3,0)</f>
        <v>#REF!</v>
      </c>
      <c r="E1286" s="85">
        <v>-0.22091656874265567</v>
      </c>
      <c r="F1286">
        <v>18.760000000000002</v>
      </c>
    </row>
    <row r="1287" spans="1:6">
      <c r="A1287">
        <v>3527</v>
      </c>
      <c r="B1287" t="s">
        <v>380</v>
      </c>
      <c r="C1287">
        <v>54.3</v>
      </c>
      <c r="D1287" t="e">
        <f>VLOOKUP(A1287,收盤價!A:B,3,0)</f>
        <v>#REF!</v>
      </c>
      <c r="E1287" s="85">
        <v>-0.22099447513812157</v>
      </c>
      <c r="F1287">
        <v>18.7</v>
      </c>
    </row>
    <row r="1288" spans="1:6">
      <c r="A1288">
        <v>5468</v>
      </c>
      <c r="B1288" t="s">
        <v>479</v>
      </c>
      <c r="C1288">
        <v>9.5</v>
      </c>
      <c r="D1288" t="e">
        <f>VLOOKUP(A1288,收盤價!A:B,3,0)</f>
        <v>#REF!</v>
      </c>
      <c r="E1288" s="85">
        <v>-0.22105263157894733</v>
      </c>
      <c r="F1288">
        <v>18.64</v>
      </c>
    </row>
    <row r="1289" spans="1:6">
      <c r="A1289">
        <v>8081</v>
      </c>
      <c r="B1289" t="s">
        <v>1948</v>
      </c>
      <c r="C1289">
        <v>78</v>
      </c>
      <c r="D1289" t="e">
        <f>VLOOKUP(A1289,收盤價!A:B,3,0)</f>
        <v>#REF!</v>
      </c>
      <c r="E1289" s="85">
        <v>-0.22179487179487176</v>
      </c>
      <c r="F1289">
        <v>18.57</v>
      </c>
    </row>
    <row r="1290" spans="1:6">
      <c r="A1290">
        <v>6234</v>
      </c>
      <c r="B1290" t="s">
        <v>520</v>
      </c>
      <c r="C1290">
        <v>26.8</v>
      </c>
      <c r="D1290" t="e">
        <f>VLOOKUP(A1290,收盤價!A:B,3,0)</f>
        <v>#REF!</v>
      </c>
      <c r="E1290" s="85">
        <v>-0.2220149253731343</v>
      </c>
      <c r="F1290">
        <v>18.510000000000002</v>
      </c>
    </row>
    <row r="1291" spans="1:6">
      <c r="A1291">
        <v>6189</v>
      </c>
      <c r="B1291" t="s">
        <v>1890</v>
      </c>
      <c r="C1291">
        <v>36.35</v>
      </c>
      <c r="D1291" t="e">
        <f>VLOOKUP(A1291,收盤價!A:B,3,0)</f>
        <v>#REF!</v>
      </c>
      <c r="E1291" s="85">
        <v>-0.22283356258596976</v>
      </c>
      <c r="F1291">
        <v>18.45</v>
      </c>
    </row>
    <row r="1292" spans="1:6">
      <c r="A1292">
        <v>3031</v>
      </c>
      <c r="B1292" t="s">
        <v>1674</v>
      </c>
      <c r="C1292">
        <v>13.45</v>
      </c>
      <c r="D1292" t="e">
        <f>VLOOKUP(A1292,收盤價!A:B,3,0)</f>
        <v>#REF!</v>
      </c>
      <c r="E1292" s="85">
        <v>-0.22304832713754649</v>
      </c>
      <c r="F1292">
        <v>18.38</v>
      </c>
    </row>
    <row r="1293" spans="1:6">
      <c r="A1293">
        <v>5013</v>
      </c>
      <c r="B1293" t="s">
        <v>2241</v>
      </c>
      <c r="C1293">
        <v>19.95</v>
      </c>
      <c r="D1293" t="e">
        <f>VLOOKUP(A1293,收盤價!A:B,3,0)</f>
        <v>#REF!</v>
      </c>
      <c r="E1293" s="85">
        <v>-0.22305764411027565</v>
      </c>
      <c r="F1293">
        <v>18.32</v>
      </c>
    </row>
    <row r="1294" spans="1:6">
      <c r="A1294">
        <v>1626</v>
      </c>
      <c r="B1294" t="s">
        <v>1301</v>
      </c>
      <c r="C1294">
        <v>29.1</v>
      </c>
      <c r="D1294">
        <f>VLOOKUP(A1294,收盤價!A:C,3,0)</f>
        <v>27.65</v>
      </c>
      <c r="E1294" s="85">
        <v>-0.2233676975945017</v>
      </c>
      <c r="F1294">
        <v>18.260000000000002</v>
      </c>
    </row>
    <row r="1295" spans="1:6">
      <c r="A1295">
        <v>2405</v>
      </c>
      <c r="B1295" t="s">
        <v>1470</v>
      </c>
      <c r="C1295">
        <v>9.4</v>
      </c>
      <c r="D1295" t="e">
        <f>VLOOKUP(A1295,收盤價!A:B,3,0)</f>
        <v>#REF!</v>
      </c>
      <c r="E1295" s="85">
        <v>-0.22340425531914898</v>
      </c>
      <c r="F1295">
        <v>18.190000000000001</v>
      </c>
    </row>
    <row r="1296" spans="1:6">
      <c r="A1296">
        <v>4939</v>
      </c>
      <c r="B1296" t="s">
        <v>438</v>
      </c>
      <c r="C1296">
        <v>11.5</v>
      </c>
      <c r="D1296" t="e">
        <f>VLOOKUP(A1296,收盤價!A:B,3,0)</f>
        <v>#REF!</v>
      </c>
      <c r="E1296" s="85">
        <v>-0.22347826086956524</v>
      </c>
      <c r="F1296">
        <v>18.13</v>
      </c>
    </row>
    <row r="1297" spans="1:6">
      <c r="A1297">
        <v>3036</v>
      </c>
      <c r="B1297" t="s">
        <v>1679</v>
      </c>
      <c r="C1297">
        <v>46.5</v>
      </c>
      <c r="D1297" t="e">
        <f>VLOOKUP(A1297,收盤價!A:B,3,0)</f>
        <v>#REF!</v>
      </c>
      <c r="E1297" s="85">
        <v>-0.2236559139784946</v>
      </c>
      <c r="F1297">
        <v>18.07</v>
      </c>
    </row>
    <row r="1298" spans="1:6">
      <c r="A1298">
        <v>8936</v>
      </c>
      <c r="B1298" t="s">
        <v>2450</v>
      </c>
      <c r="C1298">
        <v>46.4</v>
      </c>
      <c r="D1298" t="e">
        <f>VLOOKUP(A1298,收盤價!A:B,3,0)</f>
        <v>#REF!</v>
      </c>
      <c r="E1298" s="85">
        <v>-0.22413793103448273</v>
      </c>
      <c r="F1298">
        <v>18</v>
      </c>
    </row>
    <row r="1299" spans="1:6">
      <c r="A1299">
        <v>5460</v>
      </c>
      <c r="B1299" t="s">
        <v>2280</v>
      </c>
      <c r="C1299">
        <v>15.6</v>
      </c>
      <c r="D1299" t="e">
        <f>VLOOKUP(A1299,收盤價!A:B,3,0)</f>
        <v>#REF!</v>
      </c>
      <c r="E1299" s="85">
        <v>-0.22435897435897437</v>
      </c>
      <c r="F1299">
        <v>17.940000000000001</v>
      </c>
    </row>
    <row r="1300" spans="1:6">
      <c r="A1300">
        <v>4745</v>
      </c>
      <c r="B1300" t="s">
        <v>2223</v>
      </c>
      <c r="C1300">
        <v>78.400000000000006</v>
      </c>
      <c r="D1300" t="e">
        <f>VLOOKUP(A1300,收盤價!A:B,3,0)</f>
        <v>#REF!</v>
      </c>
      <c r="E1300" s="85">
        <v>-0.22448979591836743</v>
      </c>
      <c r="F1300">
        <v>17.88</v>
      </c>
    </row>
    <row r="1301" spans="1:6">
      <c r="A1301">
        <v>3062</v>
      </c>
      <c r="B1301" t="s">
        <v>1702</v>
      </c>
      <c r="C1301">
        <v>21.8</v>
      </c>
      <c r="D1301" t="e">
        <f>VLOOKUP(A1301,收盤價!A:B,3,0)</f>
        <v>#REF!</v>
      </c>
      <c r="E1301" s="85">
        <v>-0.22477064220183496</v>
      </c>
      <c r="F1301">
        <v>17.809999999999999</v>
      </c>
    </row>
    <row r="1302" spans="1:6">
      <c r="A1302">
        <v>4528</v>
      </c>
      <c r="B1302" t="s">
        <v>2208</v>
      </c>
      <c r="C1302">
        <v>85.2</v>
      </c>
      <c r="D1302" t="e">
        <f>VLOOKUP(A1302,收盤價!A:B,3,0)</f>
        <v>#REF!</v>
      </c>
      <c r="E1302" s="85">
        <v>-0.22535211267605637</v>
      </c>
      <c r="F1302">
        <v>17.75</v>
      </c>
    </row>
    <row r="1303" spans="1:6">
      <c r="A1303">
        <v>5450</v>
      </c>
      <c r="B1303" t="s">
        <v>474</v>
      </c>
      <c r="C1303">
        <v>10.6</v>
      </c>
      <c r="D1303" t="e">
        <f>VLOOKUP(A1303,收盤價!A:B,3,0)</f>
        <v>#REF!</v>
      </c>
      <c r="E1303" s="85">
        <v>-0.22547169811320744</v>
      </c>
      <c r="F1303">
        <v>17.690000000000001</v>
      </c>
    </row>
    <row r="1304" spans="1:6">
      <c r="A1304">
        <v>8426</v>
      </c>
      <c r="B1304" t="s">
        <v>2436</v>
      </c>
      <c r="C1304">
        <v>36.5</v>
      </c>
      <c r="D1304" t="e">
        <f>VLOOKUP(A1304,收盤價!A:B,3,0)</f>
        <v>#REF!</v>
      </c>
      <c r="E1304" s="85">
        <v>-0.22602739726027396</v>
      </c>
      <c r="F1304">
        <v>17.62</v>
      </c>
    </row>
    <row r="1305" spans="1:6">
      <c r="A1305">
        <v>4905</v>
      </c>
      <c r="B1305" t="s">
        <v>2226</v>
      </c>
      <c r="C1305">
        <v>53.5</v>
      </c>
      <c r="D1305" t="e">
        <f>VLOOKUP(A1305,收盤價!A:B,3,0)</f>
        <v>#REF!</v>
      </c>
      <c r="E1305" s="85">
        <v>-0.22616822429906544</v>
      </c>
      <c r="F1305">
        <v>17.559999999999999</v>
      </c>
    </row>
    <row r="1306" spans="1:6">
      <c r="A1306">
        <v>5603</v>
      </c>
      <c r="B1306" t="s">
        <v>487</v>
      </c>
      <c r="C1306">
        <v>19.45</v>
      </c>
      <c r="D1306" t="e">
        <f>VLOOKUP(A1306,收盤價!A:B,3,0)</f>
        <v>#REF!</v>
      </c>
      <c r="E1306" s="85">
        <v>-0.22622107969151664</v>
      </c>
      <c r="F1306">
        <v>17.5</v>
      </c>
    </row>
    <row r="1307" spans="1:6">
      <c r="A1307">
        <v>4729</v>
      </c>
      <c r="B1307" t="s">
        <v>433</v>
      </c>
      <c r="C1307">
        <v>16.75</v>
      </c>
      <c r="D1307" t="e">
        <f>VLOOKUP(A1307,收盤價!A:B,3,0)</f>
        <v>#REF!</v>
      </c>
      <c r="E1307" s="85">
        <v>-0.22686567164179108</v>
      </c>
      <c r="F1307">
        <v>17.440000000000001</v>
      </c>
    </row>
    <row r="1308" spans="1:6">
      <c r="A1308">
        <v>1613</v>
      </c>
      <c r="B1308" t="s">
        <v>1295</v>
      </c>
      <c r="C1308">
        <v>4.34</v>
      </c>
      <c r="D1308">
        <f>VLOOKUP(A1308,收盤價!A:C,3,0)</f>
        <v>3.34</v>
      </c>
      <c r="E1308" s="85">
        <v>-0.22811059907834097</v>
      </c>
      <c r="F1308">
        <v>17.37</v>
      </c>
    </row>
    <row r="1309" spans="1:6">
      <c r="A1309">
        <v>2434</v>
      </c>
      <c r="B1309" t="s">
        <v>1492</v>
      </c>
      <c r="C1309">
        <v>8.01</v>
      </c>
      <c r="D1309" t="e">
        <f>VLOOKUP(A1309,收盤價!A:B,3,0)</f>
        <v>#REF!</v>
      </c>
      <c r="E1309" s="85">
        <v>-0.22846441947565543</v>
      </c>
      <c r="F1309">
        <v>17.309999999999999</v>
      </c>
    </row>
    <row r="1310" spans="1:6">
      <c r="A1310">
        <v>1256</v>
      </c>
      <c r="B1310" t="s">
        <v>2041</v>
      </c>
      <c r="C1310">
        <v>201</v>
      </c>
      <c r="D1310">
        <f>VLOOKUP(A1310,收盤價!A:C,3,0)</f>
        <v>155.5</v>
      </c>
      <c r="E1310" s="85">
        <v>-0.22885572139303484</v>
      </c>
      <c r="F1310">
        <v>17.25</v>
      </c>
    </row>
    <row r="1311" spans="1:6">
      <c r="A1311">
        <v>3528</v>
      </c>
      <c r="B1311" t="s">
        <v>2136</v>
      </c>
      <c r="C1311">
        <v>40.200000000000003</v>
      </c>
      <c r="D1311" t="e">
        <f>VLOOKUP(A1311,收盤價!A:B,3,0)</f>
        <v>#REF!</v>
      </c>
      <c r="E1311" s="85">
        <v>-0.23009950248756225</v>
      </c>
      <c r="F1311">
        <v>17.18</v>
      </c>
    </row>
    <row r="1312" spans="1:6">
      <c r="A1312">
        <v>2605</v>
      </c>
      <c r="B1312" t="s">
        <v>1574</v>
      </c>
      <c r="C1312">
        <v>24.85</v>
      </c>
      <c r="D1312" t="e">
        <f>VLOOKUP(A1312,收盤價!A:B,3,0)</f>
        <v>#REF!</v>
      </c>
      <c r="E1312" s="85">
        <v>-0.23138832997987926</v>
      </c>
      <c r="F1312">
        <v>17.12</v>
      </c>
    </row>
    <row r="1313" spans="1:6">
      <c r="A1313">
        <v>3034</v>
      </c>
      <c r="B1313" t="s">
        <v>1677</v>
      </c>
      <c r="C1313">
        <v>149</v>
      </c>
      <c r="D1313" t="e">
        <f>VLOOKUP(A1313,收盤價!A:B,3,0)</f>
        <v>#REF!</v>
      </c>
      <c r="E1313" s="85">
        <v>-0.23154362416107382</v>
      </c>
      <c r="F1313">
        <v>17.059999999999999</v>
      </c>
    </row>
    <row r="1314" spans="1:6">
      <c r="A1314">
        <v>3089</v>
      </c>
      <c r="B1314" t="s">
        <v>329</v>
      </c>
      <c r="C1314">
        <v>29.8</v>
      </c>
      <c r="D1314" t="e">
        <f>VLOOKUP(A1314,收盤價!A:B,3,0)</f>
        <v>#REF!</v>
      </c>
      <c r="E1314" s="85">
        <v>-0.23154362416107388</v>
      </c>
      <c r="F1314">
        <v>16.989999999999998</v>
      </c>
    </row>
    <row r="1315" spans="1:6">
      <c r="A1315">
        <v>4152</v>
      </c>
      <c r="B1315" t="s">
        <v>409</v>
      </c>
      <c r="C1315">
        <v>185.5</v>
      </c>
      <c r="D1315" t="e">
        <f>VLOOKUP(A1315,收盤價!A:B,3,0)</f>
        <v>#REF!</v>
      </c>
      <c r="E1315" s="85">
        <v>-0.23180592991913745</v>
      </c>
      <c r="F1315">
        <v>16.93</v>
      </c>
    </row>
    <row r="1316" spans="1:6">
      <c r="A1316">
        <v>6174</v>
      </c>
      <c r="B1316" t="s">
        <v>2340</v>
      </c>
      <c r="C1316">
        <v>18.100000000000001</v>
      </c>
      <c r="D1316" t="e">
        <f>VLOOKUP(A1316,收盤價!A:B,3,0)</f>
        <v>#REF!</v>
      </c>
      <c r="E1316" s="85">
        <v>-0.23204419889502767</v>
      </c>
      <c r="F1316">
        <v>16.87</v>
      </c>
    </row>
    <row r="1317" spans="1:6">
      <c r="A1317">
        <v>3558</v>
      </c>
      <c r="B1317" t="s">
        <v>387</v>
      </c>
      <c r="C1317">
        <v>273.5</v>
      </c>
      <c r="D1317" t="e">
        <f>VLOOKUP(A1317,收盤價!A:B,3,0)</f>
        <v>#REF!</v>
      </c>
      <c r="E1317" s="85">
        <v>-0.23217550274223034</v>
      </c>
      <c r="F1317">
        <v>16.8</v>
      </c>
    </row>
    <row r="1318" spans="1:6">
      <c r="A1318">
        <v>8410</v>
      </c>
      <c r="B1318" t="s">
        <v>556</v>
      </c>
      <c r="C1318">
        <v>23.25</v>
      </c>
      <c r="D1318" t="e">
        <f>VLOOKUP(A1318,收盤價!A:B,3,0)</f>
        <v>#REF!</v>
      </c>
      <c r="E1318" s="85">
        <v>-0.23225806451612896</v>
      </c>
      <c r="F1318">
        <v>16.739999999999998</v>
      </c>
    </row>
    <row r="1319" spans="1:6">
      <c r="A1319">
        <v>9955</v>
      </c>
      <c r="B1319" t="s">
        <v>2038</v>
      </c>
      <c r="C1319">
        <v>17.399999999999999</v>
      </c>
      <c r="D1319" t="e">
        <f>VLOOKUP(A1319,收盤價!A:B,3,0)</f>
        <v>#REF!</v>
      </c>
      <c r="E1319" s="85">
        <v>-0.23275862068965514</v>
      </c>
      <c r="F1319">
        <v>16.68</v>
      </c>
    </row>
    <row r="1320" spans="1:6">
      <c r="A1320">
        <v>6276</v>
      </c>
      <c r="B1320" t="s">
        <v>533</v>
      </c>
      <c r="C1320">
        <v>10.3</v>
      </c>
      <c r="D1320" t="e">
        <f>VLOOKUP(A1320,收盤價!A:B,3,0)</f>
        <v>#REF!</v>
      </c>
      <c r="E1320" s="85">
        <v>-0.23300970873786409</v>
      </c>
      <c r="F1320">
        <v>16.61</v>
      </c>
    </row>
    <row r="1321" spans="1:6">
      <c r="A1321">
        <v>4402</v>
      </c>
      <c r="B1321" t="s">
        <v>419</v>
      </c>
      <c r="C1321">
        <v>5.35</v>
      </c>
      <c r="D1321" t="e">
        <f>VLOOKUP(A1321,收盤價!A:B,3,0)</f>
        <v>#REF!</v>
      </c>
      <c r="E1321" s="85">
        <v>-0.23364485981308414</v>
      </c>
      <c r="F1321">
        <v>16.55</v>
      </c>
    </row>
    <row r="1322" spans="1:6">
      <c r="A1322">
        <v>3209</v>
      </c>
      <c r="B1322" t="s">
        <v>1710</v>
      </c>
      <c r="C1322">
        <v>31.6</v>
      </c>
      <c r="D1322" t="e">
        <f>VLOOKUP(A1322,收盤價!A:B,3,0)</f>
        <v>#REF!</v>
      </c>
      <c r="E1322" s="85">
        <v>-0.23417721518987347</v>
      </c>
      <c r="F1322">
        <v>16.489999999999998</v>
      </c>
    </row>
    <row r="1323" spans="1:6">
      <c r="A1323">
        <v>3363</v>
      </c>
      <c r="B1323" t="s">
        <v>363</v>
      </c>
      <c r="C1323">
        <v>34.5</v>
      </c>
      <c r="D1323" t="e">
        <f>VLOOKUP(A1323,收盤價!A:B,3,0)</f>
        <v>#REF!</v>
      </c>
      <c r="E1323" s="85">
        <v>-0.23478260869565221</v>
      </c>
      <c r="F1323">
        <v>16.420000000000002</v>
      </c>
    </row>
    <row r="1324" spans="1:6">
      <c r="A1324">
        <v>3022</v>
      </c>
      <c r="B1324" t="s">
        <v>1665</v>
      </c>
      <c r="C1324">
        <v>54</v>
      </c>
      <c r="D1324" t="e">
        <f>VLOOKUP(A1324,收盤價!A:B,3,0)</f>
        <v>#REF!</v>
      </c>
      <c r="E1324" s="85">
        <v>-0.23518518518518525</v>
      </c>
      <c r="F1324">
        <v>16.36</v>
      </c>
    </row>
    <row r="1325" spans="1:6">
      <c r="A1325">
        <v>8080</v>
      </c>
      <c r="B1325" t="s">
        <v>547</v>
      </c>
      <c r="C1325">
        <v>18.2</v>
      </c>
      <c r="D1325" t="e">
        <f>VLOOKUP(A1325,收盤價!A:B,3,0)</f>
        <v>#REF!</v>
      </c>
      <c r="E1325" s="85">
        <v>-0.2362637362637362</v>
      </c>
      <c r="F1325">
        <v>16.3</v>
      </c>
    </row>
    <row r="1326" spans="1:6">
      <c r="A1326">
        <v>2104</v>
      </c>
      <c r="B1326" t="s">
        <v>1383</v>
      </c>
      <c r="C1326">
        <v>32.35</v>
      </c>
      <c r="D1326">
        <f>VLOOKUP(A1326,收盤價!A:C,3,0)</f>
        <v>24.65</v>
      </c>
      <c r="E1326" s="85">
        <v>-0.23647604327666158</v>
      </c>
      <c r="F1326">
        <v>16.23</v>
      </c>
    </row>
    <row r="1327" spans="1:6">
      <c r="A1327">
        <v>6210</v>
      </c>
      <c r="B1327" t="s">
        <v>2350</v>
      </c>
      <c r="C1327">
        <v>53.9</v>
      </c>
      <c r="D1327" t="e">
        <f>VLOOKUP(A1327,收盤價!A:B,3,0)</f>
        <v>#REF!</v>
      </c>
      <c r="E1327" s="85">
        <v>-0.23654916512059371</v>
      </c>
      <c r="F1327">
        <v>16.170000000000002</v>
      </c>
    </row>
    <row r="1328" spans="1:6">
      <c r="A1328">
        <v>3057</v>
      </c>
      <c r="B1328" t="s">
        <v>1698</v>
      </c>
      <c r="C1328">
        <v>24.5</v>
      </c>
      <c r="D1328" t="e">
        <f>VLOOKUP(A1328,收盤價!A:B,3,0)</f>
        <v>#REF!</v>
      </c>
      <c r="E1328" s="85">
        <v>-0.23673469387755106</v>
      </c>
      <c r="F1328">
        <v>16.11</v>
      </c>
    </row>
    <row r="1329" spans="1:6">
      <c r="A1329">
        <v>3067</v>
      </c>
      <c r="B1329" t="s">
        <v>325</v>
      </c>
      <c r="C1329">
        <v>17.3</v>
      </c>
      <c r="D1329" t="e">
        <f>VLOOKUP(A1329,收盤價!A:B,3,0)</f>
        <v>#REF!</v>
      </c>
      <c r="E1329" s="85">
        <v>-0.23699421965317927</v>
      </c>
      <c r="F1329">
        <v>16.05</v>
      </c>
    </row>
    <row r="1330" spans="1:6">
      <c r="A1330">
        <v>8071</v>
      </c>
      <c r="B1330" t="s">
        <v>546</v>
      </c>
      <c r="C1330">
        <v>18.350000000000001</v>
      </c>
      <c r="D1330" t="e">
        <f>VLOOKUP(A1330,收盤價!A:B,3,0)</f>
        <v>#REF!</v>
      </c>
      <c r="E1330" s="85">
        <v>-0.23705722070844693</v>
      </c>
      <c r="F1330">
        <v>15.98</v>
      </c>
    </row>
    <row r="1331" spans="1:6">
      <c r="A1331">
        <v>3632</v>
      </c>
      <c r="B1331" t="s">
        <v>2153</v>
      </c>
      <c r="C1331">
        <v>32</v>
      </c>
      <c r="D1331" t="e">
        <f>VLOOKUP(A1331,收盤價!A:B,3,0)</f>
        <v>#REF!</v>
      </c>
      <c r="E1331" s="85">
        <v>-0.23750000000000004</v>
      </c>
      <c r="F1331">
        <v>15.92</v>
      </c>
    </row>
    <row r="1332" spans="1:6">
      <c r="A1332">
        <v>2436</v>
      </c>
      <c r="B1332" t="s">
        <v>1493</v>
      </c>
      <c r="C1332">
        <v>24.8</v>
      </c>
      <c r="D1332" t="e">
        <f>VLOOKUP(A1332,收盤價!A:B,3,0)</f>
        <v>#REF!</v>
      </c>
      <c r="E1332" s="85">
        <v>-0.23790322580645168</v>
      </c>
      <c r="F1332">
        <v>15.86</v>
      </c>
    </row>
    <row r="1333" spans="1:6">
      <c r="A1333">
        <v>2361</v>
      </c>
      <c r="B1333" t="s">
        <v>1440</v>
      </c>
      <c r="C1333">
        <v>1.68</v>
      </c>
      <c r="D1333" t="e">
        <f>VLOOKUP(A1333,收盤價!A:B,3,0)</f>
        <v>#REF!</v>
      </c>
      <c r="E1333" s="85">
        <v>-0.23809523809523805</v>
      </c>
      <c r="F1333">
        <v>15.79</v>
      </c>
    </row>
    <row r="1334" spans="1:6">
      <c r="A1334">
        <v>8059</v>
      </c>
      <c r="B1334" t="s">
        <v>2393</v>
      </c>
      <c r="C1334">
        <v>14.85</v>
      </c>
      <c r="D1334" t="e">
        <f>VLOOKUP(A1334,收盤價!A:B,3,0)</f>
        <v>#REF!</v>
      </c>
      <c r="E1334" s="85">
        <v>-0.239057239057239</v>
      </c>
      <c r="F1334">
        <v>15.73</v>
      </c>
    </row>
    <row r="1335" spans="1:6">
      <c r="A1335">
        <v>3043</v>
      </c>
      <c r="B1335" t="s">
        <v>1685</v>
      </c>
      <c r="C1335">
        <v>3.42</v>
      </c>
      <c r="D1335" t="e">
        <f>VLOOKUP(A1335,收盤價!A:B,3,0)</f>
        <v>#REF!</v>
      </c>
      <c r="E1335" s="85">
        <v>-0.23976608187134499</v>
      </c>
      <c r="F1335">
        <v>15.67</v>
      </c>
    </row>
    <row r="1336" spans="1:6">
      <c r="A1336">
        <v>5264</v>
      </c>
      <c r="B1336" t="s">
        <v>1837</v>
      </c>
      <c r="C1336">
        <v>191</v>
      </c>
      <c r="D1336" t="e">
        <f>VLOOKUP(A1336,收盤價!A:B,3,0)</f>
        <v>#REF!</v>
      </c>
      <c r="E1336" s="85">
        <v>-0.24083769633507854</v>
      </c>
      <c r="F1336">
        <v>15.6</v>
      </c>
    </row>
    <row r="1337" spans="1:6">
      <c r="A1337">
        <v>6277</v>
      </c>
      <c r="B1337" t="s">
        <v>1915</v>
      </c>
      <c r="C1337">
        <v>91.3</v>
      </c>
      <c r="D1337" t="e">
        <f>VLOOKUP(A1337,收盤價!A:B,3,0)</f>
        <v>#REF!</v>
      </c>
      <c r="E1337" s="85">
        <v>-0.24096385542168675</v>
      </c>
      <c r="F1337">
        <v>15.54</v>
      </c>
    </row>
    <row r="1338" spans="1:6">
      <c r="A1338">
        <v>3006</v>
      </c>
      <c r="B1338" t="s">
        <v>1654</v>
      </c>
      <c r="C1338">
        <v>38.799999999999997</v>
      </c>
      <c r="D1338" t="e">
        <f>VLOOKUP(A1338,收盤價!A:B,3,0)</f>
        <v>#REF!</v>
      </c>
      <c r="E1338" s="85">
        <v>-0.24097938144329895</v>
      </c>
      <c r="F1338">
        <v>15.48</v>
      </c>
    </row>
    <row r="1339" spans="1:6">
      <c r="A1339">
        <v>3144</v>
      </c>
      <c r="B1339" t="s">
        <v>335</v>
      </c>
      <c r="C1339">
        <v>23.2</v>
      </c>
      <c r="D1339" t="e">
        <f>VLOOKUP(A1339,收盤價!A:B,3,0)</f>
        <v>#REF!</v>
      </c>
      <c r="E1339" s="85">
        <v>-0.24137931034482751</v>
      </c>
      <c r="F1339">
        <v>15.41</v>
      </c>
    </row>
    <row r="1340" spans="1:6">
      <c r="A1340">
        <v>2409</v>
      </c>
      <c r="B1340" t="s">
        <v>1473</v>
      </c>
      <c r="C1340">
        <v>13.65</v>
      </c>
      <c r="D1340" t="e">
        <f>VLOOKUP(A1340,收盤價!A:B,3,0)</f>
        <v>#REF!</v>
      </c>
      <c r="E1340" s="85">
        <v>-0.24175824175824182</v>
      </c>
      <c r="F1340">
        <v>15.35</v>
      </c>
    </row>
    <row r="1341" spans="1:6">
      <c r="A1341">
        <v>5349</v>
      </c>
      <c r="B1341" t="s">
        <v>2267</v>
      </c>
      <c r="C1341">
        <v>44.8</v>
      </c>
      <c r="D1341" t="e">
        <f>VLOOKUP(A1341,收盤價!A:B,3,0)</f>
        <v>#REF!</v>
      </c>
      <c r="E1341" s="85">
        <v>-0.24218749999999989</v>
      </c>
      <c r="F1341">
        <v>15.29</v>
      </c>
    </row>
    <row r="1342" spans="1:6">
      <c r="A1342">
        <v>2347</v>
      </c>
      <c r="B1342" t="s">
        <v>1427</v>
      </c>
      <c r="C1342">
        <v>45.75</v>
      </c>
      <c r="D1342">
        <f>VLOOKUP(A1342,收盤價!A:C,3,0)</f>
        <v>33.799999999999997</v>
      </c>
      <c r="E1342" s="85">
        <v>-0.24262295081967217</v>
      </c>
      <c r="F1342">
        <v>15.22</v>
      </c>
    </row>
    <row r="1343" spans="1:6">
      <c r="A1343">
        <v>5907</v>
      </c>
      <c r="B1343" t="s">
        <v>1862</v>
      </c>
      <c r="C1343">
        <v>52</v>
      </c>
      <c r="D1343" t="e">
        <f>VLOOKUP(A1343,收盤價!A:B,3,0)</f>
        <v>#REF!</v>
      </c>
      <c r="E1343" s="85">
        <v>-0.24423076923076928</v>
      </c>
      <c r="F1343">
        <v>15.16</v>
      </c>
    </row>
    <row r="1344" spans="1:6">
      <c r="A1344">
        <v>4401</v>
      </c>
      <c r="B1344" t="s">
        <v>2193</v>
      </c>
      <c r="C1344">
        <v>130</v>
      </c>
      <c r="D1344" t="e">
        <f>VLOOKUP(A1344,收盤價!A:B,3,0)</f>
        <v>#REF!</v>
      </c>
      <c r="E1344" s="85">
        <v>-0.2446153846153846</v>
      </c>
      <c r="F1344">
        <v>15.1</v>
      </c>
    </row>
    <row r="1345" spans="1:6">
      <c r="A1345">
        <v>3052</v>
      </c>
      <c r="B1345" t="s">
        <v>1694</v>
      </c>
      <c r="C1345">
        <v>12.75</v>
      </c>
      <c r="D1345" t="e">
        <f>VLOOKUP(A1345,收盤價!A:B,3,0)</f>
        <v>#REF!</v>
      </c>
      <c r="E1345" s="85">
        <v>-0.24470588235294111</v>
      </c>
      <c r="F1345">
        <v>15.03</v>
      </c>
    </row>
    <row r="1346" spans="1:6">
      <c r="A1346">
        <v>5015</v>
      </c>
      <c r="B1346" t="s">
        <v>445</v>
      </c>
      <c r="C1346">
        <v>21.25</v>
      </c>
      <c r="D1346" t="e">
        <f>VLOOKUP(A1346,收盤價!A:B,3,0)</f>
        <v>#REF!</v>
      </c>
      <c r="E1346" s="85">
        <v>-0.24470588235294113</v>
      </c>
      <c r="F1346">
        <v>14.97</v>
      </c>
    </row>
    <row r="1347" spans="1:6">
      <c r="A1347">
        <v>1452</v>
      </c>
      <c r="B1347" t="s">
        <v>1227</v>
      </c>
      <c r="C1347">
        <v>35.549999999999997</v>
      </c>
      <c r="D1347">
        <f>VLOOKUP(A1347,收盤價!A:C,3,0)</f>
        <v>27.05</v>
      </c>
      <c r="E1347" s="85">
        <v>-0.24472573839662437</v>
      </c>
      <c r="F1347">
        <v>14.91</v>
      </c>
    </row>
    <row r="1348" spans="1:6">
      <c r="A1348">
        <v>4714</v>
      </c>
      <c r="B1348" t="s">
        <v>430</v>
      </c>
      <c r="C1348">
        <v>11.85</v>
      </c>
      <c r="D1348" t="e">
        <f>VLOOKUP(A1348,收盤價!A:B,3,0)</f>
        <v>#REF!</v>
      </c>
      <c r="E1348" s="85">
        <v>-0.24472573839662451</v>
      </c>
      <c r="F1348">
        <v>14.85</v>
      </c>
    </row>
    <row r="1349" spans="1:6">
      <c r="A1349">
        <v>3128</v>
      </c>
      <c r="B1349" t="s">
        <v>2083</v>
      </c>
      <c r="C1349">
        <v>17.899999999999999</v>
      </c>
      <c r="D1349" t="e">
        <f>VLOOKUP(A1349,收盤價!A:B,3,0)</f>
        <v>#REF!</v>
      </c>
      <c r="E1349" s="85">
        <v>-0.24581005586592172</v>
      </c>
      <c r="F1349">
        <v>14.78</v>
      </c>
    </row>
    <row r="1350" spans="1:6">
      <c r="A1350">
        <v>5285</v>
      </c>
      <c r="B1350" t="s">
        <v>1839</v>
      </c>
      <c r="C1350">
        <v>42.1</v>
      </c>
      <c r="D1350" t="e">
        <f>VLOOKUP(A1350,收盤價!A:B,3,0)</f>
        <v>#REF!</v>
      </c>
      <c r="E1350" s="85">
        <v>-0.24584323040380049</v>
      </c>
      <c r="F1350">
        <v>14.72</v>
      </c>
    </row>
    <row r="1351" spans="1:6">
      <c r="A1351">
        <v>4173</v>
      </c>
      <c r="B1351" t="s">
        <v>414</v>
      </c>
      <c r="C1351">
        <v>36.4</v>
      </c>
      <c r="D1351" t="e">
        <f>VLOOKUP(A1351,收盤價!A:B,3,0)</f>
        <v>#REF!</v>
      </c>
      <c r="E1351" s="85">
        <v>-0.24587912087912087</v>
      </c>
      <c r="F1351">
        <v>14.66</v>
      </c>
    </row>
    <row r="1352" spans="1:6">
      <c r="A1352">
        <v>2524</v>
      </c>
      <c r="B1352" t="s">
        <v>1554</v>
      </c>
      <c r="C1352">
        <v>25.2</v>
      </c>
      <c r="D1352" t="e">
        <f>VLOOKUP(A1352,收盤價!A:B,3,0)</f>
        <v>#REF!</v>
      </c>
      <c r="E1352" s="85">
        <v>-0.24603174603174602</v>
      </c>
      <c r="F1352">
        <v>14.59</v>
      </c>
    </row>
    <row r="1353" spans="1:6">
      <c r="A1353">
        <v>3694</v>
      </c>
      <c r="B1353" t="s">
        <v>1776</v>
      </c>
      <c r="C1353">
        <v>22.15</v>
      </c>
      <c r="D1353" t="e">
        <f>VLOOKUP(A1353,收盤價!A:B,3,0)</f>
        <v>#REF!</v>
      </c>
      <c r="E1353" s="85">
        <v>-0.24604966139954851</v>
      </c>
      <c r="F1353">
        <v>14.53</v>
      </c>
    </row>
    <row r="1354" spans="1:6">
      <c r="A1354">
        <v>6431</v>
      </c>
      <c r="B1354" t="s">
        <v>1929</v>
      </c>
      <c r="C1354">
        <v>19</v>
      </c>
      <c r="D1354" t="e">
        <f>VLOOKUP(A1354,收盤價!A:B,3,0)</f>
        <v>#REF!</v>
      </c>
      <c r="E1354" s="85">
        <v>-0.24736842105263154</v>
      </c>
      <c r="F1354">
        <v>14.47</v>
      </c>
    </row>
    <row r="1355" spans="1:6">
      <c r="A1355">
        <v>2230</v>
      </c>
      <c r="B1355" t="s">
        <v>319</v>
      </c>
      <c r="C1355">
        <v>19.399999999999999</v>
      </c>
      <c r="D1355">
        <f>VLOOKUP(A1355,收盤價!A:C,3,0)</f>
        <v>14.65</v>
      </c>
      <c r="E1355" s="85">
        <v>-0.24742268041237109</v>
      </c>
      <c r="F1355">
        <v>14.4</v>
      </c>
    </row>
    <row r="1356" spans="1:6">
      <c r="A1356">
        <v>2401</v>
      </c>
      <c r="B1356" t="s">
        <v>1467</v>
      </c>
      <c r="C1356">
        <v>16.95</v>
      </c>
      <c r="D1356" t="e">
        <f>VLOOKUP(A1356,收盤價!A:B,3,0)</f>
        <v>#REF!</v>
      </c>
      <c r="E1356" s="85">
        <v>-0.247787610619469</v>
      </c>
      <c r="F1356">
        <v>14.34</v>
      </c>
    </row>
    <row r="1357" spans="1:6">
      <c r="A1357">
        <v>6223</v>
      </c>
      <c r="B1357" t="s">
        <v>516</v>
      </c>
      <c r="C1357">
        <v>79.900000000000006</v>
      </c>
      <c r="D1357" t="e">
        <f>VLOOKUP(A1357,收盤價!A:B,3,0)</f>
        <v>#REF!</v>
      </c>
      <c r="E1357" s="85">
        <v>-0.24780976220275347</v>
      </c>
      <c r="F1357">
        <v>14.28</v>
      </c>
    </row>
    <row r="1358" spans="1:6">
      <c r="A1358">
        <v>4906</v>
      </c>
      <c r="B1358" t="s">
        <v>1810</v>
      </c>
      <c r="C1358">
        <v>21.35</v>
      </c>
      <c r="D1358" t="e">
        <f>VLOOKUP(A1358,收盤價!A:B,3,0)</f>
        <v>#REF!</v>
      </c>
      <c r="E1358" s="85">
        <v>-0.24824355971896958</v>
      </c>
      <c r="F1358">
        <v>14.21</v>
      </c>
    </row>
    <row r="1359" spans="1:6">
      <c r="A1359">
        <v>8411</v>
      </c>
      <c r="B1359" t="s">
        <v>1969</v>
      </c>
      <c r="C1359">
        <v>36.299999999999997</v>
      </c>
      <c r="D1359" t="e">
        <f>VLOOKUP(A1359,收盤價!A:B,3,0)</f>
        <v>#REF!</v>
      </c>
      <c r="E1359" s="85">
        <v>-0.25068870523415976</v>
      </c>
      <c r="F1359">
        <v>14.15</v>
      </c>
    </row>
    <row r="1360" spans="1:6">
      <c r="A1360">
        <v>3693</v>
      </c>
      <c r="B1360" t="s">
        <v>403</v>
      </c>
      <c r="C1360">
        <v>126</v>
      </c>
      <c r="D1360" t="e">
        <f>VLOOKUP(A1360,收盤價!A:B,3,0)</f>
        <v>#REF!</v>
      </c>
      <c r="E1360" s="85">
        <v>-0.25079365079365074</v>
      </c>
      <c r="F1360">
        <v>14.09</v>
      </c>
    </row>
    <row r="1361" spans="1:6">
      <c r="A1361">
        <v>3252</v>
      </c>
      <c r="B1361" t="s">
        <v>348</v>
      </c>
      <c r="C1361">
        <v>27.05</v>
      </c>
      <c r="D1361" t="e">
        <f>VLOOKUP(A1361,收盤價!A:B,3,0)</f>
        <v>#REF!</v>
      </c>
      <c r="E1361" s="85">
        <v>-0.25138632162661739</v>
      </c>
      <c r="F1361">
        <v>14.02</v>
      </c>
    </row>
    <row r="1362" spans="1:6">
      <c r="A1362">
        <v>8084</v>
      </c>
      <c r="B1362" t="s">
        <v>2401</v>
      </c>
      <c r="C1362">
        <v>24.85</v>
      </c>
      <c r="D1362" t="e">
        <f>VLOOKUP(A1362,收盤價!A:B,3,0)</f>
        <v>#REF!</v>
      </c>
      <c r="E1362" s="85">
        <v>-0.25150905432595572</v>
      </c>
      <c r="F1362">
        <v>13.96</v>
      </c>
    </row>
    <row r="1363" spans="1:6">
      <c r="A1363">
        <v>2475</v>
      </c>
      <c r="B1363" t="s">
        <v>1523</v>
      </c>
      <c r="C1363">
        <v>1.19</v>
      </c>
      <c r="D1363" t="e">
        <f>VLOOKUP(A1363,收盤價!A:B,3,0)</f>
        <v>#REF!</v>
      </c>
      <c r="E1363" s="85">
        <v>-0.25210084033613439</v>
      </c>
      <c r="F1363">
        <v>13.9</v>
      </c>
    </row>
    <row r="1364" spans="1:6">
      <c r="A1364">
        <v>3231</v>
      </c>
      <c r="B1364" t="s">
        <v>1712</v>
      </c>
      <c r="C1364">
        <v>23.4</v>
      </c>
      <c r="D1364" t="e">
        <f>VLOOKUP(A1364,收盤價!A:B,3,0)</f>
        <v>#REF!</v>
      </c>
      <c r="E1364" s="85">
        <v>-0.25213675213675207</v>
      </c>
      <c r="F1364">
        <v>13.83</v>
      </c>
    </row>
    <row r="1365" spans="1:6">
      <c r="A1365">
        <v>3593</v>
      </c>
      <c r="B1365" t="s">
        <v>1760</v>
      </c>
      <c r="C1365">
        <v>11.6</v>
      </c>
      <c r="D1365" t="e">
        <f>VLOOKUP(A1365,收盤價!A:B,3,0)</f>
        <v>#REF!</v>
      </c>
      <c r="E1365" s="85">
        <v>-0.2525862068965517</v>
      </c>
      <c r="F1365">
        <v>13.77</v>
      </c>
    </row>
    <row r="1366" spans="1:6">
      <c r="A1366">
        <v>4141</v>
      </c>
      <c r="B1366" t="s">
        <v>1790</v>
      </c>
      <c r="C1366">
        <v>43.4</v>
      </c>
      <c r="D1366" t="e">
        <f>VLOOKUP(A1366,收盤價!A:B,3,0)</f>
        <v>#REF!</v>
      </c>
      <c r="E1366" s="85">
        <v>-0.2546082949308755</v>
      </c>
      <c r="F1366">
        <v>13.71</v>
      </c>
    </row>
    <row r="1367" spans="1:6">
      <c r="A1367">
        <v>6246</v>
      </c>
      <c r="B1367" t="s">
        <v>525</v>
      </c>
      <c r="C1367">
        <v>3.73</v>
      </c>
      <c r="D1367" t="e">
        <f>VLOOKUP(A1367,收盤價!A:B,3,0)</f>
        <v>#REF!</v>
      </c>
      <c r="E1367" s="85">
        <v>-0.25469168900804295</v>
      </c>
      <c r="F1367">
        <v>13.64</v>
      </c>
    </row>
    <row r="1368" spans="1:6">
      <c r="A1368">
        <v>8147</v>
      </c>
      <c r="B1368" t="s">
        <v>2412</v>
      </c>
      <c r="C1368">
        <v>66.3</v>
      </c>
      <c r="D1368" t="e">
        <f>VLOOKUP(A1368,收盤價!A:B,3,0)</f>
        <v>#REF!</v>
      </c>
      <c r="E1368" s="85">
        <v>-0.25490196078431371</v>
      </c>
      <c r="F1368">
        <v>13.58</v>
      </c>
    </row>
    <row r="1369" spans="1:6">
      <c r="A1369">
        <v>6195</v>
      </c>
      <c r="B1369" t="s">
        <v>510</v>
      </c>
      <c r="C1369">
        <v>65.8</v>
      </c>
      <c r="D1369" t="e">
        <f>VLOOKUP(A1369,收盤價!A:B,3,0)</f>
        <v>#REF!</v>
      </c>
      <c r="E1369" s="85">
        <v>-0.25531914893617019</v>
      </c>
      <c r="F1369">
        <v>13.52</v>
      </c>
    </row>
    <row r="1370" spans="1:6">
      <c r="A1370">
        <v>3167</v>
      </c>
      <c r="B1370" t="s">
        <v>1708</v>
      </c>
      <c r="C1370">
        <v>35</v>
      </c>
      <c r="D1370" t="e">
        <f>VLOOKUP(A1370,收盤價!A:B,3,0)</f>
        <v>#REF!</v>
      </c>
      <c r="E1370" s="85">
        <v>-0.25571428571428567</v>
      </c>
      <c r="F1370">
        <v>13.46</v>
      </c>
    </row>
    <row r="1371" spans="1:6">
      <c r="A1371">
        <v>3484</v>
      </c>
      <c r="B1371" t="s">
        <v>373</v>
      </c>
      <c r="C1371">
        <v>50.8</v>
      </c>
      <c r="D1371" t="e">
        <f>VLOOKUP(A1371,收盤價!A:B,3,0)</f>
        <v>#REF!</v>
      </c>
      <c r="E1371" s="85">
        <v>-0.25590551181102361</v>
      </c>
      <c r="F1371">
        <v>13.39</v>
      </c>
    </row>
    <row r="1372" spans="1:6">
      <c r="A1372">
        <v>1418</v>
      </c>
      <c r="B1372" t="s">
        <v>1207</v>
      </c>
      <c r="C1372">
        <v>6.72</v>
      </c>
      <c r="D1372">
        <f>VLOOKUP(A1372,收盤價!A:C,3,0)</f>
        <v>5.2</v>
      </c>
      <c r="E1372" s="85">
        <v>-0.25595238095238093</v>
      </c>
      <c r="F1372">
        <v>13.33</v>
      </c>
    </row>
    <row r="1373" spans="1:6">
      <c r="A1373">
        <v>3055</v>
      </c>
      <c r="B1373" t="s">
        <v>1696</v>
      </c>
      <c r="C1373">
        <v>17.75</v>
      </c>
      <c r="D1373" t="e">
        <f>VLOOKUP(A1373,收盤價!A:B,3,0)</f>
        <v>#REF!</v>
      </c>
      <c r="E1373" s="85">
        <v>-0.25633802816901413</v>
      </c>
      <c r="F1373">
        <v>13.27</v>
      </c>
    </row>
    <row r="1374" spans="1:6">
      <c r="A1374">
        <v>3438</v>
      </c>
      <c r="B1374" t="s">
        <v>2121</v>
      </c>
      <c r="C1374">
        <v>26.5</v>
      </c>
      <c r="D1374" t="e">
        <f>VLOOKUP(A1374,收盤價!A:B,3,0)</f>
        <v>#REF!</v>
      </c>
      <c r="E1374" s="85">
        <v>-0.25660377358490571</v>
      </c>
      <c r="F1374">
        <v>13.2</v>
      </c>
    </row>
    <row r="1375" spans="1:6">
      <c r="A1375">
        <v>6187</v>
      </c>
      <c r="B1375" t="s">
        <v>2343</v>
      </c>
      <c r="C1375">
        <v>50</v>
      </c>
      <c r="D1375" t="e">
        <f>VLOOKUP(A1375,收盤價!A:B,3,0)</f>
        <v>#REF!</v>
      </c>
      <c r="E1375" s="85">
        <v>-0.25900000000000006</v>
      </c>
      <c r="F1375">
        <v>13.14</v>
      </c>
    </row>
    <row r="1376" spans="1:6">
      <c r="A1376">
        <v>3431</v>
      </c>
      <c r="B1376" t="s">
        <v>2120</v>
      </c>
      <c r="C1376">
        <v>13.1</v>
      </c>
      <c r="D1376" t="e">
        <f>VLOOKUP(A1376,收盤價!A:B,3,0)</f>
        <v>#REF!</v>
      </c>
      <c r="E1376" s="85">
        <v>-0.25954198473282447</v>
      </c>
      <c r="F1376">
        <v>13.08</v>
      </c>
    </row>
    <row r="1377" spans="1:6">
      <c r="A1377">
        <v>8091</v>
      </c>
      <c r="B1377" t="s">
        <v>2403</v>
      </c>
      <c r="C1377">
        <v>77.400000000000006</v>
      </c>
      <c r="D1377" t="e">
        <f>VLOOKUP(A1377,收盤價!A:B,3,0)</f>
        <v>#REF!</v>
      </c>
      <c r="E1377" s="85">
        <v>-0.25968992248062023</v>
      </c>
      <c r="F1377">
        <v>13.01</v>
      </c>
    </row>
    <row r="1378" spans="1:6">
      <c r="A1378">
        <v>6130</v>
      </c>
      <c r="B1378" t="s">
        <v>497</v>
      </c>
      <c r="C1378">
        <v>36</v>
      </c>
      <c r="D1378" t="e">
        <f>VLOOKUP(A1378,收盤價!A:B,3,0)</f>
        <v>#REF!</v>
      </c>
      <c r="E1378" s="85">
        <v>-0.26111111111111107</v>
      </c>
      <c r="F1378">
        <v>12.95</v>
      </c>
    </row>
    <row r="1379" spans="1:6">
      <c r="A1379">
        <v>8271</v>
      </c>
      <c r="B1379" t="s">
        <v>1965</v>
      </c>
      <c r="C1379">
        <v>25.25</v>
      </c>
      <c r="D1379" t="e">
        <f>VLOOKUP(A1379,收盤價!A:B,3,0)</f>
        <v>#REF!</v>
      </c>
      <c r="E1379" s="85">
        <v>-0.26138613861386145</v>
      </c>
      <c r="F1379">
        <v>12.89</v>
      </c>
    </row>
    <row r="1380" spans="1:6">
      <c r="A1380">
        <v>2640</v>
      </c>
      <c r="B1380" t="s">
        <v>2062</v>
      </c>
      <c r="C1380">
        <v>101</v>
      </c>
      <c r="D1380" t="e">
        <f>VLOOKUP(A1380,收盤價!A:B,3,0)</f>
        <v>#REF!</v>
      </c>
      <c r="E1380" s="85">
        <v>-0.26138613861386145</v>
      </c>
      <c r="F1380">
        <v>12.82</v>
      </c>
    </row>
    <row r="1381" spans="1:6">
      <c r="A1381">
        <v>4953</v>
      </c>
      <c r="B1381" t="s">
        <v>2233</v>
      </c>
      <c r="C1381">
        <v>33.4</v>
      </c>
      <c r="D1381" t="e">
        <f>VLOOKUP(A1381,收盤價!A:B,3,0)</f>
        <v>#REF!</v>
      </c>
      <c r="E1381" s="85">
        <v>-0.26197604790419166</v>
      </c>
      <c r="F1381">
        <v>12.76</v>
      </c>
    </row>
    <row r="1382" spans="1:6">
      <c r="A1382">
        <v>2342</v>
      </c>
      <c r="B1382" t="s">
        <v>1424</v>
      </c>
      <c r="C1382">
        <v>3.13</v>
      </c>
      <c r="D1382">
        <f>VLOOKUP(A1382,收盤價!A:C,3,0)</f>
        <v>2.41</v>
      </c>
      <c r="E1382" s="85">
        <v>-0.26198083067092648</v>
      </c>
      <c r="F1382">
        <v>12.7</v>
      </c>
    </row>
    <row r="1383" spans="1:6">
      <c r="A1383">
        <v>6269</v>
      </c>
      <c r="B1383" t="s">
        <v>1913</v>
      </c>
      <c r="C1383">
        <v>125</v>
      </c>
      <c r="D1383" t="e">
        <f>VLOOKUP(A1383,收盤價!A:B,3,0)</f>
        <v>#REF!</v>
      </c>
      <c r="E1383" s="85">
        <v>-0.26479999999999998</v>
      </c>
      <c r="F1383">
        <v>12.63</v>
      </c>
    </row>
    <row r="1384" spans="1:6">
      <c r="A1384">
        <v>2331</v>
      </c>
      <c r="B1384" t="s">
        <v>1419</v>
      </c>
      <c r="C1384">
        <v>31.4</v>
      </c>
      <c r="D1384">
        <f>VLOOKUP(A1384,收盤價!A:C,3,0)</f>
        <v>22.55</v>
      </c>
      <c r="E1384" s="85">
        <v>-0.26592356687898083</v>
      </c>
      <c r="F1384">
        <v>12.57</v>
      </c>
    </row>
    <row r="1385" spans="1:6">
      <c r="A1385">
        <v>3672</v>
      </c>
      <c r="B1385" t="s">
        <v>401</v>
      </c>
      <c r="C1385">
        <v>54.3</v>
      </c>
      <c r="D1385" t="e">
        <f>VLOOKUP(A1385,收盤價!A:B,3,0)</f>
        <v>#REF!</v>
      </c>
      <c r="E1385" s="85">
        <v>-0.26703499079189691</v>
      </c>
      <c r="F1385">
        <v>12.51</v>
      </c>
    </row>
    <row r="1386" spans="1:6">
      <c r="A1386">
        <v>8431</v>
      </c>
      <c r="B1386" t="s">
        <v>561</v>
      </c>
      <c r="C1386">
        <v>87.6</v>
      </c>
      <c r="D1386" t="e">
        <f>VLOOKUP(A1386,收盤價!A:B,3,0)</f>
        <v>#REF!</v>
      </c>
      <c r="E1386" s="85">
        <v>-0.2682648401826484</v>
      </c>
      <c r="F1386">
        <v>12.44</v>
      </c>
    </row>
    <row r="1387" spans="1:6">
      <c r="A1387">
        <v>3257</v>
      </c>
      <c r="B1387" t="s">
        <v>1713</v>
      </c>
      <c r="C1387">
        <v>54.7</v>
      </c>
      <c r="D1387" t="e">
        <f>VLOOKUP(A1387,收盤價!A:B,3,0)</f>
        <v>#REF!</v>
      </c>
      <c r="E1387" s="85">
        <v>-0.26965265082266909</v>
      </c>
      <c r="F1387">
        <v>12.38</v>
      </c>
    </row>
    <row r="1388" spans="1:6">
      <c r="A1388">
        <v>3207</v>
      </c>
      <c r="B1388" t="s">
        <v>340</v>
      </c>
      <c r="C1388">
        <v>10.75</v>
      </c>
      <c r="D1388" t="e">
        <f>VLOOKUP(A1388,收盤價!A:B,3,0)</f>
        <v>#REF!</v>
      </c>
      <c r="E1388" s="85">
        <v>-0.26976744186046514</v>
      </c>
      <c r="F1388">
        <v>12.32</v>
      </c>
    </row>
    <row r="1389" spans="1:6">
      <c r="A1389">
        <v>2431</v>
      </c>
      <c r="B1389" t="s">
        <v>1490</v>
      </c>
      <c r="C1389">
        <v>19.8</v>
      </c>
      <c r="D1389" t="e">
        <f>VLOOKUP(A1389,收盤價!A:B,3,0)</f>
        <v>#REF!</v>
      </c>
      <c r="E1389" s="85">
        <v>-0.27020202020202028</v>
      </c>
      <c r="F1389">
        <v>12.26</v>
      </c>
    </row>
    <row r="1390" spans="1:6">
      <c r="A1390">
        <v>2734</v>
      </c>
      <c r="B1390" t="s">
        <v>324</v>
      </c>
      <c r="C1390">
        <v>37.5</v>
      </c>
      <c r="D1390" t="e">
        <f>VLOOKUP(A1390,收盤價!A:B,3,0)</f>
        <v>#REF!</v>
      </c>
      <c r="E1390" s="85">
        <v>-0.27066666666666661</v>
      </c>
      <c r="F1390">
        <v>12.19</v>
      </c>
    </row>
    <row r="1391" spans="1:6">
      <c r="A1391">
        <v>3444</v>
      </c>
      <c r="B1391" t="s">
        <v>2123</v>
      </c>
      <c r="C1391">
        <v>20.5</v>
      </c>
      <c r="D1391" t="e">
        <f>VLOOKUP(A1391,收盤價!A:B,3,0)</f>
        <v>#REF!</v>
      </c>
      <c r="E1391" s="85">
        <v>-0.27073170731707319</v>
      </c>
      <c r="F1391">
        <v>12.13</v>
      </c>
    </row>
    <row r="1392" spans="1:6">
      <c r="A1392">
        <v>3515</v>
      </c>
      <c r="B1392" t="s">
        <v>1741</v>
      </c>
      <c r="C1392">
        <v>56.5</v>
      </c>
      <c r="D1392" t="e">
        <f>VLOOKUP(A1392,收盤價!A:B,3,0)</f>
        <v>#REF!</v>
      </c>
      <c r="E1392" s="85">
        <v>-0.27079646017699111</v>
      </c>
      <c r="F1392">
        <v>12.07</v>
      </c>
    </row>
    <row r="1393" spans="1:6">
      <c r="A1393">
        <v>3191</v>
      </c>
      <c r="B1393" t="s">
        <v>2089</v>
      </c>
      <c r="C1393">
        <v>23.6</v>
      </c>
      <c r="D1393" t="e">
        <f>VLOOKUP(A1393,收盤價!A:B,3,0)</f>
        <v>#REF!</v>
      </c>
      <c r="E1393" s="85">
        <v>-0.27118644067796616</v>
      </c>
      <c r="F1393">
        <v>12</v>
      </c>
    </row>
    <row r="1394" spans="1:6">
      <c r="A1394">
        <v>5301</v>
      </c>
      <c r="B1394" t="s">
        <v>458</v>
      </c>
      <c r="C1394">
        <v>58.1</v>
      </c>
      <c r="D1394" t="e">
        <f>VLOOKUP(A1394,收盤價!A:B,3,0)</f>
        <v>#REF!</v>
      </c>
      <c r="E1394" s="85">
        <v>-0.27194492254733227</v>
      </c>
      <c r="F1394">
        <v>11.94</v>
      </c>
    </row>
    <row r="1395" spans="1:6">
      <c r="A1395">
        <v>3553</v>
      </c>
      <c r="B1395" t="s">
        <v>385</v>
      </c>
      <c r="C1395">
        <v>20.95</v>
      </c>
      <c r="D1395" t="e">
        <f>VLOOKUP(A1395,收盤價!A:B,3,0)</f>
        <v>#REF!</v>
      </c>
      <c r="E1395" s="85">
        <v>-0.27207637231503579</v>
      </c>
      <c r="F1395">
        <v>11.88</v>
      </c>
    </row>
    <row r="1396" spans="1:6">
      <c r="A1396">
        <v>5465</v>
      </c>
      <c r="B1396" t="s">
        <v>478</v>
      </c>
      <c r="C1396">
        <v>14.15</v>
      </c>
      <c r="D1396" t="e">
        <f>VLOOKUP(A1396,收盤價!A:B,3,0)</f>
        <v>#REF!</v>
      </c>
      <c r="E1396" s="85">
        <v>-0.27208480565371024</v>
      </c>
      <c r="F1396">
        <v>11.81</v>
      </c>
    </row>
    <row r="1397" spans="1:6">
      <c r="A1397">
        <v>3029</v>
      </c>
      <c r="B1397" t="s">
        <v>1672</v>
      </c>
      <c r="C1397">
        <v>27.85</v>
      </c>
      <c r="D1397" t="e">
        <f>VLOOKUP(A1397,收盤價!A:B,3,0)</f>
        <v>#REF!</v>
      </c>
      <c r="E1397" s="85">
        <v>-0.27289048473967686</v>
      </c>
      <c r="F1397">
        <v>11.75</v>
      </c>
    </row>
    <row r="1398" spans="1:6">
      <c r="A1398">
        <v>3227</v>
      </c>
      <c r="B1398" t="s">
        <v>343</v>
      </c>
      <c r="C1398">
        <v>101</v>
      </c>
      <c r="D1398" t="e">
        <f>VLOOKUP(A1398,收盤價!A:B,3,0)</f>
        <v>#REF!</v>
      </c>
      <c r="E1398" s="85">
        <v>-0.27425742574257428</v>
      </c>
      <c r="F1398">
        <v>11.69</v>
      </c>
    </row>
    <row r="1399" spans="1:6">
      <c r="A1399">
        <v>6215</v>
      </c>
      <c r="B1399" t="s">
        <v>1902</v>
      </c>
      <c r="C1399">
        <v>18.3</v>
      </c>
      <c r="D1399" t="e">
        <f>VLOOKUP(A1399,收盤價!A:B,3,0)</f>
        <v>#REF!</v>
      </c>
      <c r="E1399" s="85">
        <v>-0.27595628415300549</v>
      </c>
      <c r="F1399">
        <v>11.62</v>
      </c>
    </row>
    <row r="1400" spans="1:6">
      <c r="A1400">
        <v>6147</v>
      </c>
      <c r="B1400" t="s">
        <v>2332</v>
      </c>
      <c r="C1400">
        <v>66.7</v>
      </c>
      <c r="D1400" t="e">
        <f>VLOOKUP(A1400,收盤價!A:B,3,0)</f>
        <v>#REF!</v>
      </c>
      <c r="E1400" s="85">
        <v>-0.27811094452773616</v>
      </c>
      <c r="F1400">
        <v>11.56</v>
      </c>
    </row>
    <row r="1401" spans="1:6">
      <c r="A1401">
        <v>9157</v>
      </c>
      <c r="B1401" t="s">
        <v>2000</v>
      </c>
      <c r="C1401">
        <v>2.12</v>
      </c>
      <c r="D1401" t="e">
        <f>VLOOKUP(A1401,收盤價!A:B,3,0)</f>
        <v>#REF!</v>
      </c>
      <c r="E1401" s="85">
        <v>-0.27830188679245288</v>
      </c>
      <c r="F1401">
        <v>11.5</v>
      </c>
    </row>
    <row r="1402" spans="1:6">
      <c r="A1402">
        <v>5255</v>
      </c>
      <c r="B1402" t="s">
        <v>453</v>
      </c>
      <c r="C1402">
        <v>26.35</v>
      </c>
      <c r="D1402" t="e">
        <f>VLOOKUP(A1402,收盤價!A:B,3,0)</f>
        <v>#REF!</v>
      </c>
      <c r="E1402" s="85">
        <v>-0.27893738140417462</v>
      </c>
      <c r="F1402">
        <v>11.43</v>
      </c>
    </row>
    <row r="1403" spans="1:6">
      <c r="A1403">
        <v>8931</v>
      </c>
      <c r="B1403" t="s">
        <v>2446</v>
      </c>
      <c r="C1403">
        <v>27.75</v>
      </c>
      <c r="D1403" t="e">
        <f>VLOOKUP(A1403,收盤價!A:B,3,0)</f>
        <v>#REF!</v>
      </c>
      <c r="E1403" s="85">
        <v>-0.27927927927927926</v>
      </c>
      <c r="F1403">
        <v>11.37</v>
      </c>
    </row>
    <row r="1404" spans="1:6">
      <c r="A1404">
        <v>2719</v>
      </c>
      <c r="B1404" t="s">
        <v>323</v>
      </c>
      <c r="C1404">
        <v>25.7</v>
      </c>
      <c r="D1404" t="e">
        <f>VLOOKUP(A1404,收盤價!A:B,3,0)</f>
        <v>#REF!</v>
      </c>
      <c r="E1404" s="85">
        <v>-0.28015564202334631</v>
      </c>
      <c r="F1404">
        <v>11.31</v>
      </c>
    </row>
    <row r="1405" spans="1:6">
      <c r="A1405">
        <v>3291</v>
      </c>
      <c r="B1405" t="s">
        <v>354</v>
      </c>
      <c r="C1405">
        <v>22.3</v>
      </c>
      <c r="D1405" t="e">
        <f>VLOOKUP(A1405,收盤價!A:B,3,0)</f>
        <v>#REF!</v>
      </c>
      <c r="E1405" s="85">
        <v>-0.2802690582959641</v>
      </c>
      <c r="F1405">
        <v>11.24</v>
      </c>
    </row>
    <row r="1406" spans="1:6">
      <c r="A1406">
        <v>4733</v>
      </c>
      <c r="B1406" t="s">
        <v>1805</v>
      </c>
      <c r="C1406">
        <v>317.5</v>
      </c>
      <c r="D1406" t="e">
        <f>VLOOKUP(A1406,收盤價!A:B,3,0)</f>
        <v>#REF!</v>
      </c>
      <c r="E1406" s="85">
        <v>-0.28031496062992128</v>
      </c>
      <c r="F1406">
        <v>11.18</v>
      </c>
    </row>
    <row r="1407" spans="1:6">
      <c r="A1407">
        <v>3219</v>
      </c>
      <c r="B1407" t="s">
        <v>2095</v>
      </c>
      <c r="C1407">
        <v>17.55</v>
      </c>
      <c r="D1407" t="e">
        <f>VLOOKUP(A1407,收盤價!A:B,3,0)</f>
        <v>#REF!</v>
      </c>
      <c r="E1407" s="85">
        <v>-0.2820512820512821</v>
      </c>
      <c r="F1407">
        <v>11.12</v>
      </c>
    </row>
    <row r="1408" spans="1:6">
      <c r="A1408">
        <v>3628</v>
      </c>
      <c r="B1408" t="s">
        <v>2151</v>
      </c>
      <c r="C1408">
        <v>70.8</v>
      </c>
      <c r="D1408" t="e">
        <f>VLOOKUP(A1408,收盤價!A:B,3,0)</f>
        <v>#REF!</v>
      </c>
      <c r="E1408" s="85">
        <v>-0.2824858757062147</v>
      </c>
      <c r="F1408">
        <v>11.05</v>
      </c>
    </row>
    <row r="1409" spans="1:6">
      <c r="A1409">
        <v>3360</v>
      </c>
      <c r="B1409" t="s">
        <v>362</v>
      </c>
      <c r="C1409">
        <v>18.2</v>
      </c>
      <c r="D1409" t="e">
        <f>VLOOKUP(A1409,收盤價!A:B,3,0)</f>
        <v>#REF!</v>
      </c>
      <c r="E1409" s="85">
        <v>-0.28296703296703291</v>
      </c>
      <c r="F1409">
        <v>10.99</v>
      </c>
    </row>
    <row r="1410" spans="1:6">
      <c r="A1410">
        <v>2545</v>
      </c>
      <c r="B1410" t="s">
        <v>1567</v>
      </c>
      <c r="C1410">
        <v>39.200000000000003</v>
      </c>
      <c r="D1410" t="e">
        <f>VLOOKUP(A1410,收盤價!A:B,3,0)</f>
        <v>#REF!</v>
      </c>
      <c r="E1410" s="85">
        <v>-0.28316326530612246</v>
      </c>
      <c r="F1410">
        <v>10.93</v>
      </c>
    </row>
    <row r="1411" spans="1:6">
      <c r="A1411">
        <v>3556</v>
      </c>
      <c r="B1411" t="s">
        <v>386</v>
      </c>
      <c r="C1411">
        <v>77.900000000000006</v>
      </c>
      <c r="D1411" t="e">
        <f>VLOOKUP(A1411,收盤價!A:B,3,0)</f>
        <v>#REF!</v>
      </c>
      <c r="E1411" s="85">
        <v>-0.28369704749679087</v>
      </c>
      <c r="F1411">
        <v>10.87</v>
      </c>
    </row>
    <row r="1412" spans="1:6">
      <c r="A1412">
        <v>5902</v>
      </c>
      <c r="B1412" t="s">
        <v>490</v>
      </c>
      <c r="C1412">
        <v>12.9</v>
      </c>
      <c r="D1412" t="e">
        <f>VLOOKUP(A1412,收盤價!A:B,3,0)</f>
        <v>#REF!</v>
      </c>
      <c r="E1412" s="85">
        <v>-0.28372093023255812</v>
      </c>
      <c r="F1412">
        <v>10.8</v>
      </c>
    </row>
    <row r="1413" spans="1:6">
      <c r="A1413">
        <v>6426</v>
      </c>
      <c r="B1413" t="s">
        <v>536</v>
      </c>
      <c r="C1413">
        <v>45</v>
      </c>
      <c r="D1413" t="e">
        <f>VLOOKUP(A1413,收盤價!A:B,3,0)</f>
        <v>#REF!</v>
      </c>
      <c r="E1413" s="85">
        <v>-0.28444444444444439</v>
      </c>
      <c r="F1413">
        <v>10.74</v>
      </c>
    </row>
    <row r="1414" spans="1:6">
      <c r="A1414">
        <v>6222</v>
      </c>
      <c r="B1414" t="s">
        <v>2355</v>
      </c>
      <c r="C1414">
        <v>10.3</v>
      </c>
      <c r="D1414" t="e">
        <f>VLOOKUP(A1414,收盤價!A:B,3,0)</f>
        <v>#REF!</v>
      </c>
      <c r="E1414" s="85">
        <v>-0.28446601941747579</v>
      </c>
      <c r="F1414">
        <v>10.68</v>
      </c>
    </row>
    <row r="1415" spans="1:6">
      <c r="A1415">
        <v>911611</v>
      </c>
      <c r="B1415" t="s">
        <v>1989</v>
      </c>
      <c r="C1415">
        <v>1.3</v>
      </c>
      <c r="D1415" t="e">
        <f>VLOOKUP(A1415,收盤價!A:B,3,0)</f>
        <v>#REF!</v>
      </c>
      <c r="E1415" s="85">
        <v>-0.2846153846153846</v>
      </c>
      <c r="F1415">
        <v>10.61</v>
      </c>
    </row>
    <row r="1416" spans="1:6">
      <c r="A1416">
        <v>4966</v>
      </c>
      <c r="B1416" t="s">
        <v>2234</v>
      </c>
      <c r="C1416">
        <v>360</v>
      </c>
      <c r="D1416" t="e">
        <f>VLOOKUP(A1416,收盤價!A:B,3,0)</f>
        <v>#REF!</v>
      </c>
      <c r="E1416" s="85">
        <v>-0.28472222222222221</v>
      </c>
      <c r="F1416">
        <v>10.55</v>
      </c>
    </row>
    <row r="1417" spans="1:6">
      <c r="A1417">
        <v>5321</v>
      </c>
      <c r="B1417" t="s">
        <v>2262</v>
      </c>
      <c r="C1417">
        <v>50.3</v>
      </c>
      <c r="D1417" t="e">
        <f>VLOOKUP(A1417,收盤價!A:B,3,0)</f>
        <v>#REF!</v>
      </c>
      <c r="E1417" s="85">
        <v>-0.28528827037773352</v>
      </c>
      <c r="F1417">
        <v>10.49</v>
      </c>
    </row>
    <row r="1418" spans="1:6">
      <c r="A1418">
        <v>6126</v>
      </c>
      <c r="B1418" t="s">
        <v>2324</v>
      </c>
      <c r="C1418">
        <v>11.55</v>
      </c>
      <c r="D1418" t="e">
        <f>VLOOKUP(A1418,收盤價!A:B,3,0)</f>
        <v>#REF!</v>
      </c>
      <c r="E1418" s="85">
        <v>-0.2865800865800866</v>
      </c>
      <c r="F1418">
        <v>10.42</v>
      </c>
    </row>
    <row r="1419" spans="1:6">
      <c r="A1419">
        <v>4930</v>
      </c>
      <c r="B1419" t="s">
        <v>1816</v>
      </c>
      <c r="C1419">
        <v>24.6</v>
      </c>
      <c r="D1419" t="e">
        <f>VLOOKUP(A1419,收盤價!A:B,3,0)</f>
        <v>#REF!</v>
      </c>
      <c r="E1419" s="85">
        <v>-0.2886178861788618</v>
      </c>
      <c r="F1419">
        <v>10.36</v>
      </c>
    </row>
    <row r="1420" spans="1:6">
      <c r="A1420">
        <v>9944</v>
      </c>
      <c r="B1420" t="s">
        <v>2035</v>
      </c>
      <c r="C1420">
        <v>44</v>
      </c>
      <c r="D1420" t="e">
        <f>VLOOKUP(A1420,收盤價!A:B,3,0)</f>
        <v>#REF!</v>
      </c>
      <c r="E1420" s="85">
        <v>-0.28863636363636364</v>
      </c>
      <c r="F1420">
        <v>10.3</v>
      </c>
    </row>
    <row r="1421" spans="1:6">
      <c r="A1421">
        <v>6287</v>
      </c>
      <c r="B1421" t="s">
        <v>2369</v>
      </c>
      <c r="C1421">
        <v>4.08</v>
      </c>
      <c r="D1421" t="e">
        <f>VLOOKUP(A1421,收盤價!A:B,3,0)</f>
        <v>#REF!</v>
      </c>
      <c r="E1421" s="85">
        <v>-0.28921568627450983</v>
      </c>
      <c r="F1421">
        <v>10.23</v>
      </c>
    </row>
    <row r="1422" spans="1:6">
      <c r="A1422">
        <v>2491</v>
      </c>
      <c r="B1422" t="s">
        <v>1536</v>
      </c>
      <c r="C1422">
        <v>11.95</v>
      </c>
      <c r="D1422" t="e">
        <f>VLOOKUP(A1422,收盤價!A:B,3,0)</f>
        <v>#REF!</v>
      </c>
      <c r="E1422" s="85">
        <v>-0.28953974895397483</v>
      </c>
      <c r="F1422">
        <v>10.17</v>
      </c>
    </row>
    <row r="1423" spans="1:6">
      <c r="A1423">
        <v>8044</v>
      </c>
      <c r="B1423" t="s">
        <v>2387</v>
      </c>
      <c r="C1423">
        <v>510</v>
      </c>
      <c r="D1423" t="e">
        <f>VLOOKUP(A1423,收盤價!A:B,3,0)</f>
        <v>#REF!</v>
      </c>
      <c r="E1423" s="85">
        <v>-0.29019607843137257</v>
      </c>
      <c r="F1423">
        <v>10.11</v>
      </c>
    </row>
    <row r="1424" spans="1:6">
      <c r="A1424">
        <v>3545</v>
      </c>
      <c r="B1424" t="s">
        <v>1748</v>
      </c>
      <c r="C1424">
        <v>35.049999999999997</v>
      </c>
      <c r="D1424" t="e">
        <f>VLOOKUP(A1424,收盤價!A:B,3,0)</f>
        <v>#REF!</v>
      </c>
      <c r="E1424" s="85">
        <v>-0.29101283880171175</v>
      </c>
      <c r="F1424">
        <v>10.039999999999999</v>
      </c>
    </row>
    <row r="1425" spans="1:6">
      <c r="A1425">
        <v>3390</v>
      </c>
      <c r="B1425" t="s">
        <v>2118</v>
      </c>
      <c r="C1425">
        <v>22.95</v>
      </c>
      <c r="D1425" t="e">
        <f>VLOOKUP(A1425,收盤價!A:B,3,0)</f>
        <v>#REF!</v>
      </c>
      <c r="E1425" s="85">
        <v>-0.29193899782135074</v>
      </c>
      <c r="F1425">
        <v>9.98</v>
      </c>
    </row>
    <row r="1426" spans="1:6">
      <c r="A1426">
        <v>3056</v>
      </c>
      <c r="B1426" t="s">
        <v>1697</v>
      </c>
      <c r="C1426">
        <v>18.100000000000001</v>
      </c>
      <c r="D1426" t="e">
        <f>VLOOKUP(A1426,收盤價!A:B,3,0)</f>
        <v>#REF!</v>
      </c>
      <c r="E1426" s="85">
        <v>-0.29281767955801108</v>
      </c>
      <c r="F1426">
        <v>9.92</v>
      </c>
    </row>
    <row r="1427" spans="1:6">
      <c r="A1427">
        <v>4739</v>
      </c>
      <c r="B1427" t="s">
        <v>2221</v>
      </c>
      <c r="C1427">
        <v>63</v>
      </c>
      <c r="D1427" t="e">
        <f>VLOOKUP(A1427,收盤價!A:B,3,0)</f>
        <v>#REF!</v>
      </c>
      <c r="E1427" s="85">
        <v>-0.29365079365079366</v>
      </c>
      <c r="F1427">
        <v>9.85</v>
      </c>
    </row>
    <row r="1428" spans="1:6">
      <c r="A1428">
        <v>2727</v>
      </c>
      <c r="B1428" t="s">
        <v>1600</v>
      </c>
      <c r="C1428">
        <v>275</v>
      </c>
      <c r="D1428" t="e">
        <f>VLOOKUP(A1428,收盤價!A:B,3,0)</f>
        <v>#REF!</v>
      </c>
      <c r="E1428" s="85">
        <v>-0.29454545454545455</v>
      </c>
      <c r="F1428">
        <v>9.7899999999999991</v>
      </c>
    </row>
    <row r="1429" spans="1:6">
      <c r="A1429">
        <v>3481</v>
      </c>
      <c r="B1429" t="s">
        <v>1736</v>
      </c>
      <c r="C1429">
        <v>16.100000000000001</v>
      </c>
      <c r="D1429" t="e">
        <f>VLOOKUP(A1429,收盤價!A:B,3,0)</f>
        <v>#REF!</v>
      </c>
      <c r="E1429" s="85">
        <v>-0.29503105590062118</v>
      </c>
      <c r="F1429">
        <v>9.73</v>
      </c>
    </row>
    <row r="1430" spans="1:6">
      <c r="A1430">
        <v>1213</v>
      </c>
      <c r="B1430" t="s">
        <v>1159</v>
      </c>
      <c r="C1430">
        <v>21.15</v>
      </c>
      <c r="D1430">
        <f>VLOOKUP(A1430,收盤價!A:C,3,0)</f>
        <v>15.7</v>
      </c>
      <c r="E1430" s="85">
        <v>-0.29550827423167841</v>
      </c>
      <c r="F1430">
        <v>9.67</v>
      </c>
    </row>
    <row r="1431" spans="1:6">
      <c r="A1431">
        <v>3228</v>
      </c>
      <c r="B1431" t="s">
        <v>344</v>
      </c>
      <c r="C1431">
        <v>28.7</v>
      </c>
      <c r="D1431" t="e">
        <f>VLOOKUP(A1431,收盤價!A:B,3,0)</f>
        <v>#REF!</v>
      </c>
      <c r="E1431" s="85">
        <v>-0.29616724738675959</v>
      </c>
      <c r="F1431">
        <v>9.6</v>
      </c>
    </row>
    <row r="1432" spans="1:6">
      <c r="A1432">
        <v>8930</v>
      </c>
      <c r="B1432" t="s">
        <v>573</v>
      </c>
      <c r="C1432">
        <v>12.8</v>
      </c>
      <c r="D1432" t="e">
        <f>VLOOKUP(A1432,收盤價!A:B,3,0)</f>
        <v>#REF!</v>
      </c>
      <c r="E1432" s="85">
        <v>-0.29765625000000001</v>
      </c>
      <c r="F1432">
        <v>9.5399999999999991</v>
      </c>
    </row>
    <row r="1433" spans="1:6">
      <c r="A1433">
        <v>8048</v>
      </c>
      <c r="B1433" t="s">
        <v>2389</v>
      </c>
      <c r="C1433">
        <v>64.900000000000006</v>
      </c>
      <c r="D1433" t="e">
        <f>VLOOKUP(A1433,收盤價!A:B,3,0)</f>
        <v>#REF!</v>
      </c>
      <c r="E1433" s="85">
        <v>-0.2989214175654854</v>
      </c>
      <c r="F1433">
        <v>9.48</v>
      </c>
    </row>
    <row r="1434" spans="1:6">
      <c r="A1434">
        <v>2596</v>
      </c>
      <c r="B1434" t="s">
        <v>2060</v>
      </c>
      <c r="C1434">
        <v>18.05</v>
      </c>
      <c r="D1434" t="e">
        <f>VLOOKUP(A1434,收盤價!A:B,3,0)</f>
        <v>#REF!</v>
      </c>
      <c r="E1434" s="85">
        <v>-0.29916897506925211</v>
      </c>
      <c r="F1434">
        <v>9.41</v>
      </c>
    </row>
    <row r="1435" spans="1:6">
      <c r="A1435">
        <v>6289</v>
      </c>
      <c r="B1435" t="s">
        <v>1922</v>
      </c>
      <c r="C1435">
        <v>1.57</v>
      </c>
      <c r="D1435" t="e">
        <f>VLOOKUP(A1435,收盤價!A:B,3,0)</f>
        <v>#REF!</v>
      </c>
      <c r="E1435" s="85">
        <v>-0.29936305732484075</v>
      </c>
      <c r="F1435">
        <v>9.35</v>
      </c>
    </row>
    <row r="1436" spans="1:6">
      <c r="A1436">
        <v>1455</v>
      </c>
      <c r="B1436" t="s">
        <v>1230</v>
      </c>
      <c r="C1436">
        <v>14.35</v>
      </c>
      <c r="D1436">
        <f>VLOOKUP(A1436,收盤價!A:C,3,0)</f>
        <v>10.050000000000001</v>
      </c>
      <c r="E1436" s="85">
        <v>-0.2996515679442508</v>
      </c>
      <c r="F1436">
        <v>9.2899999999999991</v>
      </c>
    </row>
    <row r="1437" spans="1:6">
      <c r="A1437">
        <v>3437</v>
      </c>
      <c r="B1437" t="s">
        <v>1731</v>
      </c>
      <c r="C1437">
        <v>36.700000000000003</v>
      </c>
      <c r="D1437" t="e">
        <f>VLOOKUP(A1437,收盤價!A:B,3,0)</f>
        <v>#REF!</v>
      </c>
      <c r="E1437" s="85">
        <v>-0.2997275204359674</v>
      </c>
      <c r="F1437">
        <v>9.2200000000000006</v>
      </c>
    </row>
    <row r="1438" spans="1:6">
      <c r="A1438">
        <v>6104</v>
      </c>
      <c r="B1438" t="s">
        <v>2313</v>
      </c>
      <c r="C1438">
        <v>55.1</v>
      </c>
      <c r="D1438" t="e">
        <f>VLOOKUP(A1438,收盤價!A:B,3,0)</f>
        <v>#REF!</v>
      </c>
      <c r="E1438" s="85">
        <v>-0.30036297640653364</v>
      </c>
      <c r="F1438">
        <v>9.16</v>
      </c>
    </row>
    <row r="1439" spans="1:6">
      <c r="A1439">
        <v>8446</v>
      </c>
      <c r="B1439" t="s">
        <v>2439</v>
      </c>
      <c r="C1439">
        <v>131</v>
      </c>
      <c r="D1439" t="e">
        <f>VLOOKUP(A1439,收盤價!A:B,3,0)</f>
        <v>#REF!</v>
      </c>
      <c r="E1439" s="85">
        <v>-0.30076335877862598</v>
      </c>
      <c r="F1439">
        <v>9.1</v>
      </c>
    </row>
    <row r="1440" spans="1:6">
      <c r="A1440">
        <v>3546</v>
      </c>
      <c r="B1440" t="s">
        <v>2140</v>
      </c>
      <c r="C1440">
        <v>51.2</v>
      </c>
      <c r="D1440" t="e">
        <f>VLOOKUP(A1440,收盤價!A:B,3,0)</f>
        <v>#REF!</v>
      </c>
      <c r="E1440" s="85">
        <v>-0.30078125000000011</v>
      </c>
      <c r="F1440">
        <v>9.0299999999999994</v>
      </c>
    </row>
    <row r="1441" spans="1:6">
      <c r="A1441">
        <v>3584</v>
      </c>
      <c r="B1441" t="s">
        <v>1757</v>
      </c>
      <c r="C1441">
        <v>12.1</v>
      </c>
      <c r="D1441" t="e">
        <f>VLOOKUP(A1441,收盤價!A:B,3,0)</f>
        <v>#REF!</v>
      </c>
      <c r="E1441" s="85">
        <v>-0.30413223140495865</v>
      </c>
      <c r="F1441">
        <v>8.9700000000000006</v>
      </c>
    </row>
    <row r="1442" spans="1:6">
      <c r="A1442">
        <v>6419</v>
      </c>
      <c r="B1442" t="s">
        <v>2375</v>
      </c>
      <c r="C1442">
        <v>33.85</v>
      </c>
      <c r="D1442" t="e">
        <f>VLOOKUP(A1442,收盤價!A:B,3,0)</f>
        <v>#REF!</v>
      </c>
      <c r="E1442" s="85">
        <v>-0.30428360413589367</v>
      </c>
      <c r="F1442">
        <v>8.91</v>
      </c>
    </row>
    <row r="1443" spans="1:6">
      <c r="A1443">
        <v>3008</v>
      </c>
      <c r="B1443" t="s">
        <v>1655</v>
      </c>
      <c r="C1443">
        <v>3525</v>
      </c>
      <c r="D1443" t="e">
        <f>VLOOKUP(A1443,收盤價!A:B,3,0)</f>
        <v>#REF!</v>
      </c>
      <c r="E1443" s="85">
        <v>-0.30496453900709219</v>
      </c>
      <c r="F1443">
        <v>8.84</v>
      </c>
    </row>
    <row r="1444" spans="1:6">
      <c r="A1444">
        <v>2456</v>
      </c>
      <c r="B1444" t="s">
        <v>1509</v>
      </c>
      <c r="C1444">
        <v>68.900000000000006</v>
      </c>
      <c r="D1444" t="e">
        <f>VLOOKUP(A1444,收盤價!A:B,3,0)</f>
        <v>#REF!</v>
      </c>
      <c r="E1444" s="85">
        <v>-0.30696661828737304</v>
      </c>
      <c r="F1444">
        <v>8.7799999999999994</v>
      </c>
    </row>
    <row r="1445" spans="1:6">
      <c r="A1445">
        <v>5356</v>
      </c>
      <c r="B1445" t="s">
        <v>2270</v>
      </c>
      <c r="C1445">
        <v>59</v>
      </c>
      <c r="D1445" t="e">
        <f>VLOOKUP(A1445,收盤價!A:B,3,0)</f>
        <v>#REF!</v>
      </c>
      <c r="E1445" s="85">
        <v>-0.30762711864406778</v>
      </c>
      <c r="F1445">
        <v>8.7200000000000006</v>
      </c>
    </row>
    <row r="1446" spans="1:6">
      <c r="A1446">
        <v>3706</v>
      </c>
      <c r="B1446" t="s">
        <v>1783</v>
      </c>
      <c r="C1446">
        <v>33.15</v>
      </c>
      <c r="D1446" t="e">
        <f>VLOOKUP(A1446,收盤價!A:B,3,0)</f>
        <v>#REF!</v>
      </c>
      <c r="E1446" s="85">
        <v>-0.30920060331825039</v>
      </c>
      <c r="F1446">
        <v>8.65</v>
      </c>
    </row>
    <row r="1447" spans="1:6">
      <c r="A1447">
        <v>5269</v>
      </c>
      <c r="B1447" t="s">
        <v>1838</v>
      </c>
      <c r="C1447">
        <v>262.5</v>
      </c>
      <c r="D1447" t="e">
        <f>VLOOKUP(A1447,收盤價!A:B,3,0)</f>
        <v>#REF!</v>
      </c>
      <c r="E1447" s="85">
        <v>-0.31047619047619046</v>
      </c>
      <c r="F1447">
        <v>8.59</v>
      </c>
    </row>
    <row r="1448" spans="1:6">
      <c r="A1448">
        <v>3669</v>
      </c>
      <c r="B1448" t="s">
        <v>1771</v>
      </c>
      <c r="C1448">
        <v>19.600000000000001</v>
      </c>
      <c r="D1448" t="e">
        <f>VLOOKUP(A1448,收盤價!A:B,3,0)</f>
        <v>#REF!</v>
      </c>
      <c r="E1448" s="85">
        <v>-0.31122448979591844</v>
      </c>
      <c r="F1448">
        <v>8.5299999999999994</v>
      </c>
    </row>
    <row r="1449" spans="1:6">
      <c r="A1449">
        <v>3518</v>
      </c>
      <c r="B1449" t="s">
        <v>1742</v>
      </c>
      <c r="C1449">
        <v>53</v>
      </c>
      <c r="D1449" t="e">
        <f>VLOOKUP(A1449,收盤價!A:B,3,0)</f>
        <v>#REF!</v>
      </c>
      <c r="E1449" s="85">
        <v>-0.31132075471698112</v>
      </c>
      <c r="F1449">
        <v>8.4600000000000009</v>
      </c>
    </row>
    <row r="1450" spans="1:6">
      <c r="A1450">
        <v>3434</v>
      </c>
      <c r="B1450" t="s">
        <v>369</v>
      </c>
      <c r="C1450">
        <v>11.95</v>
      </c>
      <c r="D1450" t="e">
        <f>VLOOKUP(A1450,收盤價!A:B,3,0)</f>
        <v>#REF!</v>
      </c>
      <c r="E1450" s="85">
        <v>-0.31380753138075318</v>
      </c>
      <c r="F1450">
        <v>8.4</v>
      </c>
    </row>
    <row r="1451" spans="1:6">
      <c r="A1451">
        <v>3646</v>
      </c>
      <c r="B1451" t="s">
        <v>2155</v>
      </c>
      <c r="C1451">
        <v>18</v>
      </c>
      <c r="D1451" t="e">
        <f>VLOOKUP(A1451,收盤價!A:B,3,0)</f>
        <v>#REF!</v>
      </c>
      <c r="E1451" s="85">
        <v>-0.31388888888888888</v>
      </c>
      <c r="F1451">
        <v>8.34</v>
      </c>
    </row>
    <row r="1452" spans="1:6">
      <c r="A1452">
        <v>1339</v>
      </c>
      <c r="B1452" t="s">
        <v>1198</v>
      </c>
      <c r="C1452">
        <v>82.1</v>
      </c>
      <c r="D1452">
        <f>VLOOKUP(A1452,收盤價!A:C,3,0)</f>
        <v>57.6</v>
      </c>
      <c r="E1452" s="85">
        <v>-0.31546894031668687</v>
      </c>
      <c r="F1452">
        <v>8.2799999999999994</v>
      </c>
    </row>
    <row r="1453" spans="1:6">
      <c r="A1453">
        <v>3645</v>
      </c>
      <c r="B1453" t="s">
        <v>1767</v>
      </c>
      <c r="C1453">
        <v>42.15</v>
      </c>
      <c r="D1453" t="e">
        <f>VLOOKUP(A1453,收盤價!A:B,3,0)</f>
        <v>#REF!</v>
      </c>
      <c r="E1453" s="85">
        <v>-0.31672597864768681</v>
      </c>
      <c r="F1453">
        <v>8.2100000000000009</v>
      </c>
    </row>
    <row r="1454" spans="1:6">
      <c r="A1454">
        <v>8092</v>
      </c>
      <c r="B1454" t="s">
        <v>2404</v>
      </c>
      <c r="C1454">
        <v>12.5</v>
      </c>
      <c r="D1454" t="e">
        <f>VLOOKUP(A1454,收盤價!A:B,3,0)</f>
        <v>#REF!</v>
      </c>
      <c r="E1454" s="85">
        <v>-0.31840000000000002</v>
      </c>
      <c r="F1454">
        <v>8.15</v>
      </c>
    </row>
    <row r="1455" spans="1:6">
      <c r="A1455">
        <v>3060</v>
      </c>
      <c r="B1455" t="s">
        <v>1701</v>
      </c>
      <c r="C1455">
        <v>90.5</v>
      </c>
      <c r="D1455" t="e">
        <f>VLOOKUP(A1455,收盤價!A:B,3,0)</f>
        <v>#REF!</v>
      </c>
      <c r="E1455" s="85">
        <v>-0.32044198895027626</v>
      </c>
      <c r="F1455">
        <v>8.09</v>
      </c>
    </row>
    <row r="1456" spans="1:6">
      <c r="A1456">
        <v>6259</v>
      </c>
      <c r="B1456" t="s">
        <v>528</v>
      </c>
      <c r="C1456">
        <v>11.15</v>
      </c>
      <c r="D1456" t="e">
        <f>VLOOKUP(A1456,收盤價!A:B,3,0)</f>
        <v>#REF!</v>
      </c>
      <c r="E1456" s="85">
        <v>-0.32107623318385647</v>
      </c>
      <c r="F1456">
        <v>8.02</v>
      </c>
    </row>
    <row r="1457" spans="1:6">
      <c r="A1457">
        <v>2448</v>
      </c>
      <c r="B1457" t="s">
        <v>1502</v>
      </c>
      <c r="C1457">
        <v>41.25</v>
      </c>
      <c r="D1457" t="e">
        <f>VLOOKUP(A1457,收盤價!A:B,3,0)</f>
        <v>#REF!</v>
      </c>
      <c r="E1457" s="85">
        <v>-0.32121212121212123</v>
      </c>
      <c r="F1457">
        <v>7.96</v>
      </c>
    </row>
    <row r="1458" spans="1:6">
      <c r="A1458">
        <v>2597</v>
      </c>
      <c r="B1458" t="s">
        <v>1571</v>
      </c>
      <c r="C1458">
        <v>55.3</v>
      </c>
      <c r="D1458" t="e">
        <f>VLOOKUP(A1458,收盤價!A:B,3,0)</f>
        <v>#REF!</v>
      </c>
      <c r="E1458" s="85">
        <v>-0.32188065099457502</v>
      </c>
      <c r="F1458">
        <v>7.9</v>
      </c>
    </row>
    <row r="1459" spans="1:6">
      <c r="A1459">
        <v>5514</v>
      </c>
      <c r="B1459" t="s">
        <v>2294</v>
      </c>
      <c r="C1459">
        <v>17.45</v>
      </c>
      <c r="D1459" t="e">
        <f>VLOOKUP(A1459,收盤價!A:B,3,0)</f>
        <v>#REF!</v>
      </c>
      <c r="E1459" s="85">
        <v>-0.32378223495701997</v>
      </c>
      <c r="F1459">
        <v>7.83</v>
      </c>
    </row>
    <row r="1460" spans="1:6">
      <c r="A1460">
        <v>8454</v>
      </c>
      <c r="B1460" t="s">
        <v>1974</v>
      </c>
      <c r="C1460">
        <v>269.5</v>
      </c>
      <c r="D1460" t="e">
        <f>VLOOKUP(A1460,收盤價!A:B,3,0)</f>
        <v>#REF!</v>
      </c>
      <c r="E1460" s="85">
        <v>-0.32467532467532467</v>
      </c>
      <c r="F1460">
        <v>7.77</v>
      </c>
    </row>
    <row r="1461" spans="1:6">
      <c r="A1461">
        <v>1580</v>
      </c>
      <c r="B1461" t="s">
        <v>2045</v>
      </c>
      <c r="C1461">
        <v>171</v>
      </c>
      <c r="D1461">
        <f>VLOOKUP(A1461,收盤價!A:C,3,0)</f>
        <v>117</v>
      </c>
      <c r="E1461" s="85">
        <v>-0.32748538011695905</v>
      </c>
      <c r="F1461">
        <v>7.71</v>
      </c>
    </row>
    <row r="1462" spans="1:6">
      <c r="A1462">
        <v>6241</v>
      </c>
      <c r="B1462" t="s">
        <v>523</v>
      </c>
      <c r="C1462">
        <v>20</v>
      </c>
      <c r="D1462" t="e">
        <f>VLOOKUP(A1462,收盤價!A:B,3,0)</f>
        <v>#REF!</v>
      </c>
      <c r="E1462" s="85">
        <v>-0.32999999999999996</v>
      </c>
      <c r="F1462">
        <v>7.64</v>
      </c>
    </row>
    <row r="1463" spans="1:6">
      <c r="A1463">
        <v>3490</v>
      </c>
      <c r="B1463" t="s">
        <v>375</v>
      </c>
      <c r="C1463">
        <v>124.5</v>
      </c>
      <c r="D1463" t="e">
        <f>VLOOKUP(A1463,收盤價!A:B,3,0)</f>
        <v>#REF!</v>
      </c>
      <c r="E1463" s="85">
        <v>-0.33092369477911648</v>
      </c>
      <c r="F1463">
        <v>7.58</v>
      </c>
    </row>
    <row r="1464" spans="1:6">
      <c r="A1464">
        <v>4523</v>
      </c>
      <c r="B1464" t="s">
        <v>2206</v>
      </c>
      <c r="C1464">
        <v>28.1</v>
      </c>
      <c r="D1464" t="e">
        <f>VLOOKUP(A1464,收盤價!A:B,3,0)</f>
        <v>#REF!</v>
      </c>
      <c r="E1464" s="85">
        <v>-0.33096085409252668</v>
      </c>
      <c r="F1464">
        <v>7.52</v>
      </c>
    </row>
    <row r="1465" spans="1:6">
      <c r="A1465">
        <v>2236</v>
      </c>
      <c r="B1465" t="s">
        <v>1399</v>
      </c>
      <c r="C1465">
        <v>42.05</v>
      </c>
      <c r="D1465">
        <f>VLOOKUP(A1465,收盤價!A:C,3,0)</f>
        <v>27.05</v>
      </c>
      <c r="E1465" s="85">
        <v>-0.33412604042806177</v>
      </c>
      <c r="F1465">
        <v>7.45</v>
      </c>
    </row>
    <row r="1466" spans="1:6">
      <c r="A1466">
        <v>3666</v>
      </c>
      <c r="B1466" t="s">
        <v>400</v>
      </c>
      <c r="C1466">
        <v>27.5</v>
      </c>
      <c r="D1466" t="e">
        <f>VLOOKUP(A1466,收盤價!A:B,3,0)</f>
        <v>#REF!</v>
      </c>
      <c r="E1466" s="85">
        <v>-0.33818181818181819</v>
      </c>
      <c r="F1466">
        <v>7.39</v>
      </c>
    </row>
    <row r="1467" spans="1:6">
      <c r="A1467">
        <v>5523</v>
      </c>
      <c r="B1467" t="s">
        <v>485</v>
      </c>
      <c r="C1467">
        <v>12.45</v>
      </c>
      <c r="D1467" t="e">
        <f>VLOOKUP(A1467,收盤價!A:B,3,0)</f>
        <v>#REF!</v>
      </c>
      <c r="E1467" s="85">
        <v>-0.34056224899598381</v>
      </c>
      <c r="F1467">
        <v>7.33</v>
      </c>
    </row>
    <row r="1468" spans="1:6">
      <c r="A1468">
        <v>4549</v>
      </c>
      <c r="B1468" t="s">
        <v>425</v>
      </c>
      <c r="C1468">
        <v>125.5</v>
      </c>
      <c r="D1468" t="e">
        <f>VLOOKUP(A1468,收盤價!A:B,3,0)</f>
        <v>#REF!</v>
      </c>
      <c r="E1468" s="85">
        <v>-0.34262948207171312</v>
      </c>
      <c r="F1468">
        <v>7.26</v>
      </c>
    </row>
    <row r="1469" spans="1:6">
      <c r="A1469">
        <v>3642</v>
      </c>
      <c r="B1469" t="s">
        <v>2154</v>
      </c>
      <c r="C1469">
        <v>28.5</v>
      </c>
      <c r="D1469" t="e">
        <f>VLOOKUP(A1469,收盤價!A:B,3,0)</f>
        <v>#REF!</v>
      </c>
      <c r="E1469" s="85">
        <v>-0.34385964912280703</v>
      </c>
      <c r="F1469">
        <v>7.2</v>
      </c>
    </row>
    <row r="1470" spans="1:6">
      <c r="A1470">
        <v>2542</v>
      </c>
      <c r="B1470" t="s">
        <v>1565</v>
      </c>
      <c r="C1470">
        <v>73.599999999999994</v>
      </c>
      <c r="D1470" t="e">
        <f>VLOOKUP(A1470,收盤價!A:B,3,0)</f>
        <v>#REF!</v>
      </c>
      <c r="E1470" s="85">
        <v>-0.34510869565217384</v>
      </c>
      <c r="F1470">
        <v>7.14</v>
      </c>
    </row>
    <row r="1471" spans="1:6">
      <c r="A1471">
        <v>3662</v>
      </c>
      <c r="B1471" t="s">
        <v>2156</v>
      </c>
      <c r="C1471">
        <v>144</v>
      </c>
      <c r="D1471" t="e">
        <f>VLOOKUP(A1471,收盤價!A:B,3,0)</f>
        <v>#REF!</v>
      </c>
      <c r="E1471" s="85">
        <v>-0.34513888888888888</v>
      </c>
      <c r="F1471">
        <v>7.08</v>
      </c>
    </row>
    <row r="1472" spans="1:6">
      <c r="A1472">
        <v>5534</v>
      </c>
      <c r="B1472" t="s">
        <v>1854</v>
      </c>
      <c r="C1472">
        <v>70</v>
      </c>
      <c r="D1472" t="e">
        <f>VLOOKUP(A1472,收盤價!A:B,3,0)</f>
        <v>#REF!</v>
      </c>
      <c r="E1472" s="85">
        <v>-0.34928571428571431</v>
      </c>
      <c r="F1472">
        <v>7.01</v>
      </c>
    </row>
    <row r="1473" spans="1:6">
      <c r="A1473">
        <v>2454</v>
      </c>
      <c r="B1473" t="s">
        <v>1507</v>
      </c>
      <c r="C1473">
        <v>422</v>
      </c>
      <c r="D1473" t="e">
        <f>VLOOKUP(A1473,收盤價!A:B,3,0)</f>
        <v>#REF!</v>
      </c>
      <c r="E1473" s="85">
        <v>-0.35071090047393366</v>
      </c>
      <c r="F1473">
        <v>6.95</v>
      </c>
    </row>
    <row r="1474" spans="1:6">
      <c r="A1474">
        <v>5457</v>
      </c>
      <c r="B1474" t="s">
        <v>477</v>
      </c>
      <c r="C1474">
        <v>44.2</v>
      </c>
      <c r="D1474" t="e">
        <f>VLOOKUP(A1474,收盤價!A:B,3,0)</f>
        <v>#REF!</v>
      </c>
      <c r="E1474" s="85">
        <v>-0.3518099547511313</v>
      </c>
      <c r="F1474">
        <v>6.89</v>
      </c>
    </row>
    <row r="1475" spans="1:6">
      <c r="A1475">
        <v>3312</v>
      </c>
      <c r="B1475" t="s">
        <v>1719</v>
      </c>
      <c r="C1475">
        <v>10.4</v>
      </c>
      <c r="D1475" t="e">
        <f>VLOOKUP(A1475,收盤價!A:B,3,0)</f>
        <v>#REF!</v>
      </c>
      <c r="E1475" s="85">
        <v>-0.35384615384615387</v>
      </c>
      <c r="F1475">
        <v>6.82</v>
      </c>
    </row>
    <row r="1476" spans="1:6">
      <c r="A1476">
        <v>4944</v>
      </c>
      <c r="B1476" t="s">
        <v>2230</v>
      </c>
      <c r="C1476">
        <v>19</v>
      </c>
      <c r="D1476" t="e">
        <f>VLOOKUP(A1476,收盤價!A:B,3,0)</f>
        <v>#REF!</v>
      </c>
      <c r="E1476" s="85">
        <v>-0.35526315789473684</v>
      </c>
      <c r="F1476">
        <v>6.76</v>
      </c>
    </row>
    <row r="1477" spans="1:6">
      <c r="A1477">
        <v>5272</v>
      </c>
      <c r="B1477" t="s">
        <v>454</v>
      </c>
      <c r="C1477">
        <v>65.900000000000006</v>
      </c>
      <c r="D1477" t="e">
        <f>VLOOKUP(A1477,收盤價!A:B,3,0)</f>
        <v>#REF!</v>
      </c>
      <c r="E1477" s="85">
        <v>-0.3558421851289833</v>
      </c>
      <c r="F1477">
        <v>6.7</v>
      </c>
    </row>
    <row r="1478" spans="1:6">
      <c r="A1478">
        <v>2539</v>
      </c>
      <c r="B1478" t="s">
        <v>1563</v>
      </c>
      <c r="C1478">
        <v>36.049999999999997</v>
      </c>
      <c r="D1478" t="e">
        <f>VLOOKUP(A1478,收盤價!A:B,3,0)</f>
        <v>#REF!</v>
      </c>
      <c r="E1478" s="85">
        <v>-0.35644937586685155</v>
      </c>
      <c r="F1478">
        <v>6.63</v>
      </c>
    </row>
    <row r="1479" spans="1:6">
      <c r="A1479">
        <v>4542</v>
      </c>
      <c r="B1479" t="s">
        <v>424</v>
      </c>
      <c r="C1479">
        <v>34.5</v>
      </c>
      <c r="D1479" t="e">
        <f>VLOOKUP(A1479,收盤價!A:B,3,0)</f>
        <v>#REF!</v>
      </c>
      <c r="E1479" s="85">
        <v>-0.35797101449275365</v>
      </c>
      <c r="F1479">
        <v>6.57</v>
      </c>
    </row>
    <row r="1480" spans="1:6">
      <c r="A1480">
        <v>2107</v>
      </c>
      <c r="B1480" t="s">
        <v>1386</v>
      </c>
      <c r="C1480">
        <v>29.05</v>
      </c>
      <c r="D1480">
        <f>VLOOKUP(A1480,收盤價!A:C,3,0)</f>
        <v>18.399999999999999</v>
      </c>
      <c r="E1480" s="85">
        <v>-0.35800344234079179</v>
      </c>
      <c r="F1480">
        <v>6.51</v>
      </c>
    </row>
    <row r="1481" spans="1:6">
      <c r="A1481">
        <v>8103</v>
      </c>
      <c r="B1481" t="s">
        <v>1950</v>
      </c>
      <c r="C1481">
        <v>42.15</v>
      </c>
      <c r="D1481" t="e">
        <f>VLOOKUP(A1481,收盤價!A:B,3,0)</f>
        <v>#REF!</v>
      </c>
      <c r="E1481" s="85">
        <v>-0.35824436536180304</v>
      </c>
      <c r="F1481">
        <v>6.44</v>
      </c>
    </row>
    <row r="1482" spans="1:6">
      <c r="A1482">
        <v>6103</v>
      </c>
      <c r="B1482" t="s">
        <v>2312</v>
      </c>
      <c r="C1482">
        <v>10.5</v>
      </c>
      <c r="D1482" t="e">
        <f>VLOOKUP(A1482,收盤價!A:B,3,0)</f>
        <v>#REF!</v>
      </c>
      <c r="E1482" s="85">
        <v>-0.36095238095238097</v>
      </c>
      <c r="F1482">
        <v>6.38</v>
      </c>
    </row>
    <row r="1483" spans="1:6">
      <c r="A1483">
        <v>8086</v>
      </c>
      <c r="B1483" t="s">
        <v>2402</v>
      </c>
      <c r="C1483">
        <v>122</v>
      </c>
      <c r="D1483" t="e">
        <f>VLOOKUP(A1483,收盤價!A:B,3,0)</f>
        <v>#REF!</v>
      </c>
      <c r="E1483" s="85">
        <v>-0.36393442622950822</v>
      </c>
      <c r="F1483">
        <v>6.32</v>
      </c>
    </row>
    <row r="1484" spans="1:6">
      <c r="A1484">
        <v>3580</v>
      </c>
      <c r="B1484" t="s">
        <v>2147</v>
      </c>
      <c r="C1484">
        <v>8.83</v>
      </c>
      <c r="D1484" t="e">
        <f>VLOOKUP(A1484,收盤價!A:B,3,0)</f>
        <v>#REF!</v>
      </c>
      <c r="E1484" s="85">
        <v>-0.36466591166477913</v>
      </c>
      <c r="F1484">
        <v>6.25</v>
      </c>
    </row>
    <row r="1485" spans="1:6">
      <c r="A1485">
        <v>8027</v>
      </c>
      <c r="B1485" t="s">
        <v>2381</v>
      </c>
      <c r="C1485">
        <v>35.549999999999997</v>
      </c>
      <c r="D1485" t="e">
        <f>VLOOKUP(A1485,收盤價!A:B,3,0)</f>
        <v>#REF!</v>
      </c>
      <c r="E1485" s="85">
        <v>-0.36568213783403652</v>
      </c>
      <c r="F1485">
        <v>6.19</v>
      </c>
    </row>
    <row r="1486" spans="1:6">
      <c r="A1486">
        <v>913889</v>
      </c>
      <c r="B1486" t="s">
        <v>1999</v>
      </c>
      <c r="C1486">
        <v>4.7699999999999996</v>
      </c>
      <c r="D1486" t="e">
        <f>VLOOKUP(A1486,收盤價!A:B,3,0)</f>
        <v>#REF!</v>
      </c>
      <c r="E1486" s="85">
        <v>-0.36897274633123689</v>
      </c>
      <c r="F1486">
        <v>6.13</v>
      </c>
    </row>
    <row r="1487" spans="1:6">
      <c r="A1487">
        <v>9802</v>
      </c>
      <c r="B1487" t="s">
        <v>2002</v>
      </c>
      <c r="C1487">
        <v>82.5</v>
      </c>
      <c r="D1487" t="e">
        <f>VLOOKUP(A1487,收盤價!A:B,3,0)</f>
        <v>#REF!</v>
      </c>
      <c r="E1487" s="85">
        <v>-0.37090909090909091</v>
      </c>
      <c r="F1487">
        <v>6.06</v>
      </c>
    </row>
    <row r="1488" spans="1:6">
      <c r="A1488">
        <v>6411</v>
      </c>
      <c r="B1488" t="s">
        <v>535</v>
      </c>
      <c r="C1488">
        <v>48.65</v>
      </c>
      <c r="D1488" t="e">
        <f>VLOOKUP(A1488,收盤價!A:B,3,0)</f>
        <v>#REF!</v>
      </c>
      <c r="E1488" s="85">
        <v>-0.37410071942446044</v>
      </c>
      <c r="F1488">
        <v>6</v>
      </c>
    </row>
    <row r="1489" spans="1:6">
      <c r="A1489">
        <v>3232</v>
      </c>
      <c r="B1489" t="s">
        <v>345</v>
      </c>
      <c r="C1489">
        <v>34.5</v>
      </c>
      <c r="D1489" t="e">
        <f>VLOOKUP(A1489,收盤價!A:B,3,0)</f>
        <v>#REF!</v>
      </c>
      <c r="E1489" s="85">
        <v>-0.37536231884057969</v>
      </c>
      <c r="F1489">
        <v>5.94</v>
      </c>
    </row>
    <row r="1490" spans="1:6">
      <c r="A1490">
        <v>3536</v>
      </c>
      <c r="B1490" t="s">
        <v>1747</v>
      </c>
      <c r="C1490">
        <v>10.25</v>
      </c>
      <c r="D1490" t="e">
        <f>VLOOKUP(A1490,收盤價!A:B,3,0)</f>
        <v>#REF!</v>
      </c>
      <c r="E1490" s="85">
        <v>-0.3775609756097561</v>
      </c>
      <c r="F1490">
        <v>5.87</v>
      </c>
    </row>
    <row r="1491" spans="1:6">
      <c r="A1491">
        <v>5906</v>
      </c>
      <c r="B1491" t="s">
        <v>1861</v>
      </c>
      <c r="C1491">
        <v>4.57</v>
      </c>
      <c r="D1491" t="e">
        <f>VLOOKUP(A1491,收盤價!A:B,3,0)</f>
        <v>#REF!</v>
      </c>
      <c r="E1491" s="85">
        <v>-0.37855579868708977</v>
      </c>
      <c r="F1491">
        <v>5.81</v>
      </c>
    </row>
    <row r="1492" spans="1:6">
      <c r="A1492">
        <v>2425</v>
      </c>
      <c r="B1492" t="s">
        <v>1484</v>
      </c>
      <c r="C1492">
        <v>23.4</v>
      </c>
      <c r="D1492" t="e">
        <f>VLOOKUP(A1492,收盤價!A:B,3,0)</f>
        <v>#REF!</v>
      </c>
      <c r="E1492" s="85">
        <v>-0.38675213675213671</v>
      </c>
      <c r="F1492">
        <v>5.75</v>
      </c>
    </row>
    <row r="1493" spans="1:6">
      <c r="A1493">
        <v>3489</v>
      </c>
      <c r="B1493" t="s">
        <v>374</v>
      </c>
      <c r="C1493">
        <v>17.649999999999999</v>
      </c>
      <c r="D1493" t="e">
        <f>VLOOKUP(A1493,收盤價!A:B,3,0)</f>
        <v>#REF!</v>
      </c>
      <c r="E1493" s="85">
        <v>-0.38810198300283277</v>
      </c>
      <c r="F1493">
        <v>5.69</v>
      </c>
    </row>
    <row r="1494" spans="1:6">
      <c r="A1494">
        <v>6451</v>
      </c>
      <c r="B1494" t="s">
        <v>1933</v>
      </c>
      <c r="C1494">
        <v>173</v>
      </c>
      <c r="D1494" t="e">
        <f>VLOOKUP(A1494,收盤價!A:B,3,0)</f>
        <v>#REF!</v>
      </c>
      <c r="E1494" s="85">
        <v>-0.39017341040462428</v>
      </c>
      <c r="F1494">
        <v>5.62</v>
      </c>
    </row>
    <row r="1495" spans="1:6">
      <c r="A1495">
        <v>1742</v>
      </c>
      <c r="B1495" t="s">
        <v>663</v>
      </c>
      <c r="C1495">
        <v>22.15</v>
      </c>
      <c r="D1495">
        <f>VLOOKUP(A1495,收盤價!A:C,3,0)</f>
        <v>13.45</v>
      </c>
      <c r="E1495" s="85">
        <v>-0.39277652370203159</v>
      </c>
      <c r="F1495">
        <v>5.56</v>
      </c>
    </row>
    <row r="1496" spans="1:6">
      <c r="A1496">
        <v>5291</v>
      </c>
      <c r="B1496" t="s">
        <v>457</v>
      </c>
      <c r="C1496">
        <v>27.5</v>
      </c>
      <c r="D1496" t="e">
        <f>VLOOKUP(A1496,收盤價!A:B,3,0)</f>
        <v>#REF!</v>
      </c>
      <c r="E1496" s="85">
        <v>-0.39454545454545459</v>
      </c>
      <c r="F1496">
        <v>5.5</v>
      </c>
    </row>
    <row r="1497" spans="1:6">
      <c r="A1497">
        <v>911616</v>
      </c>
      <c r="B1497" t="s">
        <v>1991</v>
      </c>
      <c r="C1497">
        <v>3.82</v>
      </c>
      <c r="D1497" t="e">
        <f>VLOOKUP(A1497,收盤價!A:B,3,0)</f>
        <v>#REF!</v>
      </c>
      <c r="E1497" s="85">
        <v>-0.39528795811518319</v>
      </c>
      <c r="F1497">
        <v>5.43</v>
      </c>
    </row>
    <row r="1498" spans="1:6">
      <c r="A1498">
        <v>3229</v>
      </c>
      <c r="B1498" t="s">
        <v>1711</v>
      </c>
      <c r="C1498">
        <v>33.299999999999997</v>
      </c>
      <c r="D1498" t="e">
        <f>VLOOKUP(A1498,收盤價!A:B,3,0)</f>
        <v>#REF!</v>
      </c>
      <c r="E1498" s="85">
        <v>-0.39789789789789781</v>
      </c>
      <c r="F1498">
        <v>5.37</v>
      </c>
    </row>
    <row r="1499" spans="1:6">
      <c r="A1499">
        <v>3272</v>
      </c>
      <c r="B1499" t="s">
        <v>351</v>
      </c>
      <c r="C1499">
        <v>114</v>
      </c>
      <c r="D1499" t="e">
        <f>VLOOKUP(A1499,收盤價!A:B,3,0)</f>
        <v>#REF!</v>
      </c>
      <c r="E1499" s="85">
        <v>-0.41228070175438597</v>
      </c>
      <c r="F1499">
        <v>5.31</v>
      </c>
    </row>
    <row r="1500" spans="1:6">
      <c r="A1500">
        <v>4994</v>
      </c>
      <c r="B1500" t="s">
        <v>1828</v>
      </c>
      <c r="C1500">
        <v>143.5</v>
      </c>
      <c r="D1500" t="e">
        <f>VLOOKUP(A1500,收盤價!A:B,3,0)</f>
        <v>#REF!</v>
      </c>
      <c r="E1500" s="85">
        <v>-0.41463414634146339</v>
      </c>
      <c r="F1500">
        <v>5.24</v>
      </c>
    </row>
    <row r="1501" spans="1:6">
      <c r="A1501">
        <v>5490</v>
      </c>
      <c r="B1501" t="s">
        <v>482</v>
      </c>
      <c r="C1501">
        <v>112.5</v>
      </c>
      <c r="D1501" t="e">
        <f>VLOOKUP(A1501,收盤價!A:B,3,0)</f>
        <v>#REF!</v>
      </c>
      <c r="E1501" s="85">
        <v>-0.42133333333333339</v>
      </c>
      <c r="F1501">
        <v>5.18</v>
      </c>
    </row>
    <row r="1502" spans="1:6">
      <c r="A1502">
        <v>8082</v>
      </c>
      <c r="B1502" t="s">
        <v>548</v>
      </c>
      <c r="C1502">
        <v>3.67</v>
      </c>
      <c r="D1502" t="e">
        <f>VLOOKUP(A1502,收盤價!A:B,3,0)</f>
        <v>#REF!</v>
      </c>
      <c r="E1502" s="85">
        <v>-0.42779291553133514</v>
      </c>
      <c r="F1502">
        <v>5.12</v>
      </c>
    </row>
    <row r="1503" spans="1:6">
      <c r="A1503">
        <v>3095</v>
      </c>
      <c r="B1503" t="s">
        <v>332</v>
      </c>
      <c r="C1503">
        <v>12.5</v>
      </c>
      <c r="D1503" t="e">
        <f>VLOOKUP(A1503,收盤價!A:B,3,0)</f>
        <v>#REF!</v>
      </c>
      <c r="E1503" s="85">
        <v>-0.42880000000000001</v>
      </c>
      <c r="F1503">
        <v>5.05</v>
      </c>
    </row>
    <row r="1504" spans="1:6">
      <c r="A1504">
        <v>3051</v>
      </c>
      <c r="B1504" t="s">
        <v>1693</v>
      </c>
      <c r="C1504">
        <v>11.1</v>
      </c>
      <c r="D1504" t="e">
        <f>VLOOKUP(A1504,收盤價!A:B,3,0)</f>
        <v>#REF!</v>
      </c>
      <c r="E1504" s="85">
        <v>-0.44144144144144143</v>
      </c>
      <c r="F1504">
        <v>4.99</v>
      </c>
    </row>
    <row r="1505" spans="1:6">
      <c r="A1505">
        <v>6177</v>
      </c>
      <c r="B1505" t="s">
        <v>1887</v>
      </c>
      <c r="C1505">
        <v>38.35</v>
      </c>
      <c r="D1505" t="e">
        <f>VLOOKUP(A1505,收盤價!A:B,3,0)</f>
        <v>#REF!</v>
      </c>
      <c r="E1505" s="85">
        <v>-0.4419817470664929</v>
      </c>
      <c r="F1505">
        <v>4.93</v>
      </c>
    </row>
    <row r="1506" spans="1:6">
      <c r="A1506">
        <v>5508</v>
      </c>
      <c r="B1506" t="s">
        <v>2292</v>
      </c>
      <c r="C1506">
        <v>54.9</v>
      </c>
      <c r="D1506" t="e">
        <f>VLOOKUP(A1506,收盤價!A:B,3,0)</f>
        <v>#REF!</v>
      </c>
      <c r="E1506" s="85">
        <v>-0.44262295081967207</v>
      </c>
      <c r="F1506">
        <v>4.8600000000000003</v>
      </c>
    </row>
    <row r="1507" spans="1:6">
      <c r="A1507">
        <v>3658</v>
      </c>
      <c r="B1507" t="s">
        <v>399</v>
      </c>
      <c r="C1507">
        <v>2010</v>
      </c>
      <c r="D1507" t="e">
        <f>VLOOKUP(A1507,收盤價!A:B,3,0)</f>
        <v>#REF!</v>
      </c>
      <c r="E1507" s="85">
        <v>-0.45273631840796019</v>
      </c>
      <c r="F1507">
        <v>4.8</v>
      </c>
    </row>
    <row r="1508" spans="1:6">
      <c r="A1508">
        <v>4113</v>
      </c>
      <c r="B1508" t="s">
        <v>405</v>
      </c>
      <c r="C1508">
        <v>20.75</v>
      </c>
      <c r="D1508" t="e">
        <f>VLOOKUP(A1508,收盤價!A:B,3,0)</f>
        <v>#REF!</v>
      </c>
      <c r="E1508" s="85">
        <v>-0.45783132530120479</v>
      </c>
      <c r="F1508">
        <v>4.74</v>
      </c>
    </row>
    <row r="1509" spans="1:6">
      <c r="A1509">
        <v>9106</v>
      </c>
      <c r="B1509" t="s">
        <v>1983</v>
      </c>
      <c r="C1509">
        <v>5.88</v>
      </c>
      <c r="D1509" t="e">
        <f>VLOOKUP(A1509,收盤價!A:B,3,0)</f>
        <v>#REF!</v>
      </c>
      <c r="E1509" s="85">
        <v>-0.45918367346938771</v>
      </c>
      <c r="F1509">
        <v>4.67</v>
      </c>
    </row>
    <row r="1510" spans="1:6">
      <c r="A1510">
        <v>5455</v>
      </c>
      <c r="B1510" t="s">
        <v>476</v>
      </c>
      <c r="C1510">
        <v>14.25</v>
      </c>
      <c r="D1510" t="e">
        <f>VLOOKUP(A1510,收盤價!A:B,3,0)</f>
        <v>#REF!</v>
      </c>
      <c r="E1510" s="85">
        <v>-0.4687719298245614</v>
      </c>
      <c r="F1510">
        <v>4.6100000000000003</v>
      </c>
    </row>
    <row r="1511" spans="1:6">
      <c r="A1511">
        <v>2443</v>
      </c>
      <c r="B1511" t="s">
        <v>1500</v>
      </c>
      <c r="C1511">
        <v>14.4</v>
      </c>
      <c r="D1511" t="e">
        <f>VLOOKUP(A1511,收盤價!A:B,3,0)</f>
        <v>#REF!</v>
      </c>
      <c r="E1511" s="85">
        <v>-0.47222222222222227</v>
      </c>
      <c r="F1511">
        <v>4.55</v>
      </c>
    </row>
    <row r="1512" spans="1:6">
      <c r="A1512">
        <v>911619</v>
      </c>
      <c r="B1512" t="s">
        <v>1992</v>
      </c>
      <c r="C1512">
        <v>2.62</v>
      </c>
      <c r="D1512" t="e">
        <f>VLOOKUP(A1512,收盤價!A:B,3,0)</f>
        <v>#REF!</v>
      </c>
      <c r="E1512" s="85">
        <v>-0.48091603053435111</v>
      </c>
      <c r="F1512">
        <v>4.49</v>
      </c>
    </row>
    <row r="1513" spans="1:6">
      <c r="A1513">
        <v>8085</v>
      </c>
      <c r="B1513" t="s">
        <v>550</v>
      </c>
      <c r="C1513">
        <v>9.14</v>
      </c>
      <c r="D1513" t="e">
        <f>VLOOKUP(A1513,收盤價!A:B,3,0)</f>
        <v>#REF!</v>
      </c>
      <c r="E1513" s="85">
        <v>-0.48577680525164113</v>
      </c>
      <c r="F1513">
        <v>4.42</v>
      </c>
    </row>
    <row r="1514" spans="1:6">
      <c r="A1514">
        <v>2444</v>
      </c>
      <c r="B1514" t="s">
        <v>1501</v>
      </c>
      <c r="C1514">
        <v>16.149999999999999</v>
      </c>
      <c r="D1514" t="e">
        <f>VLOOKUP(A1514,收盤價!A:B,3,0)</f>
        <v>#REF!</v>
      </c>
      <c r="E1514" s="85">
        <v>-0.50154798761609898</v>
      </c>
      <c r="F1514">
        <v>4.3600000000000003</v>
      </c>
    </row>
    <row r="1515" spans="1:6">
      <c r="A1515">
        <v>3673</v>
      </c>
      <c r="B1515" t="s">
        <v>1772</v>
      </c>
      <c r="C1515">
        <v>178.5</v>
      </c>
      <c r="D1515" t="e">
        <f>VLOOKUP(A1515,收盤價!A:B,3,0)</f>
        <v>#REF!</v>
      </c>
      <c r="E1515" s="85">
        <v>-0.56302521008403361</v>
      </c>
      <c r="F1515">
        <v>4.3</v>
      </c>
    </row>
    <row r="1516" spans="1:6">
      <c r="A1516">
        <v>5259</v>
      </c>
      <c r="B1516" t="s">
        <v>1836</v>
      </c>
      <c r="C1516">
        <v>21.35</v>
      </c>
      <c r="D1516" t="e">
        <f>VLOOKUP(A1516,收盤價!A:B,3,0)</f>
        <v>#REF!</v>
      </c>
      <c r="E1516" s="85">
        <v>-0.59718969555035128</v>
      </c>
      <c r="F1516">
        <v>4.2300000000000004</v>
      </c>
    </row>
    <row r="1517" spans="1:6">
      <c r="A1517">
        <v>911612</v>
      </c>
      <c r="B1517" t="s">
        <v>1990</v>
      </c>
      <c r="C1517">
        <v>1.37</v>
      </c>
      <c r="D1517" t="e">
        <f>VLOOKUP(A1517,收盤價!A:B,3,0)</f>
        <v>#REF!</v>
      </c>
      <c r="E1517" s="85">
        <v>-0.59854014598540151</v>
      </c>
      <c r="F1517">
        <v>4.17</v>
      </c>
    </row>
    <row r="1518" spans="1:6">
      <c r="A1518">
        <v>8925</v>
      </c>
      <c r="B1518" t="s">
        <v>2445</v>
      </c>
      <c r="C1518">
        <v>5.97</v>
      </c>
      <c r="D1518" t="e">
        <f>VLOOKUP(A1518,收盤價!A:B,3,0)</f>
        <v>#REF!</v>
      </c>
      <c r="E1518" s="85">
        <v>-0.72026800670016755</v>
      </c>
      <c r="F1518">
        <v>4.1100000000000003</v>
      </c>
    </row>
    <row r="1519" spans="1:6">
      <c r="A1519">
        <v>4924</v>
      </c>
      <c r="B1519" t="s">
        <v>2229</v>
      </c>
      <c r="C1519">
        <v>47.6</v>
      </c>
      <c r="D1519" t="e">
        <f>VLOOKUP(A1519,收盤價!A:B,3,0)</f>
        <v>#REF!</v>
      </c>
      <c r="E1519" s="85">
        <v>-0.87079831932773111</v>
      </c>
      <c r="F1519">
        <v>4.04</v>
      </c>
    </row>
    <row r="1520" spans="1:6">
      <c r="A1520">
        <v>5011</v>
      </c>
      <c r="B1520" t="s">
        <v>444</v>
      </c>
      <c r="C1520">
        <v>24.8</v>
      </c>
      <c r="D1520" t="e">
        <f>VLOOKUP(A1520,收盤價!A:B,3,0)</f>
        <v>#REF!</v>
      </c>
      <c r="E1520" s="85">
        <v>-1</v>
      </c>
      <c r="F1520">
        <v>3.98</v>
      </c>
    </row>
    <row r="1521" spans="1:6">
      <c r="A1521">
        <v>6171</v>
      </c>
      <c r="B1521" t="s">
        <v>504</v>
      </c>
      <c r="C1521">
        <v>13.7</v>
      </c>
      <c r="D1521" t="e">
        <f>VLOOKUP(A1521,收盤價!A:B,3,0)</f>
        <v>#REF!</v>
      </c>
      <c r="E1521" s="85">
        <v>-1</v>
      </c>
      <c r="F1521">
        <v>3.92</v>
      </c>
    </row>
    <row r="1522" spans="1:6">
      <c r="A1522">
        <v>9931</v>
      </c>
      <c r="B1522" t="s">
        <v>2024</v>
      </c>
      <c r="C1522">
        <v>31.1</v>
      </c>
      <c r="D1522" t="e">
        <f>VLOOKUP(A1522,收盤價!A:B,3,0)</f>
        <v>#REF!</v>
      </c>
      <c r="E1522" s="85">
        <v>-1</v>
      </c>
      <c r="F1522">
        <v>3.85</v>
      </c>
    </row>
    <row r="1523" spans="1:6">
      <c r="A1523">
        <v>1469</v>
      </c>
      <c r="B1523" t="s">
        <v>1241</v>
      </c>
      <c r="C1523">
        <v>13.15</v>
      </c>
      <c r="D1523">
        <f>VLOOKUP(A1523,收盤價!A:C,3,0)</f>
        <v>12.45</v>
      </c>
      <c r="E1523" s="85">
        <v>-1</v>
      </c>
      <c r="F1523">
        <v>3.79</v>
      </c>
    </row>
    <row r="1524" spans="1:6">
      <c r="A1524">
        <v>4416</v>
      </c>
      <c r="B1524" t="s">
        <v>420</v>
      </c>
      <c r="C1524">
        <v>99</v>
      </c>
      <c r="D1524" t="e">
        <f>VLOOKUP(A1524,收盤價!A:B,3,0)</f>
        <v>#REF!</v>
      </c>
      <c r="E1524" s="85">
        <v>-1</v>
      </c>
      <c r="F1524">
        <v>3.73</v>
      </c>
    </row>
    <row r="1525" spans="1:6">
      <c r="A1525">
        <v>8032</v>
      </c>
      <c r="B1525" t="s">
        <v>2382</v>
      </c>
      <c r="C1525">
        <v>31.5</v>
      </c>
      <c r="D1525" t="e">
        <f>VLOOKUP(A1525,收盤價!A:B,3,0)</f>
        <v>#REF!</v>
      </c>
      <c r="E1525" s="85">
        <v>-1</v>
      </c>
      <c r="F1525">
        <v>3.66</v>
      </c>
    </row>
    <row r="1526" spans="1:6">
      <c r="A1526">
        <v>5304</v>
      </c>
      <c r="B1526" t="s">
        <v>460</v>
      </c>
      <c r="C1526">
        <v>3.86</v>
      </c>
      <c r="D1526" t="e">
        <f>VLOOKUP(A1526,收盤價!A:B,3,0)</f>
        <v>#REF!</v>
      </c>
      <c r="E1526" s="85">
        <v>-1</v>
      </c>
      <c r="F1526">
        <v>3.6</v>
      </c>
    </row>
    <row r="1527" spans="1:6">
      <c r="A1527">
        <v>8266</v>
      </c>
      <c r="B1527" t="s">
        <v>2420</v>
      </c>
      <c r="C1527">
        <v>39.4</v>
      </c>
      <c r="D1527" t="e">
        <f>VLOOKUP(A1527,收盤價!A:B,3,0)</f>
        <v>#REF!</v>
      </c>
      <c r="E1527" s="85">
        <v>-1</v>
      </c>
      <c r="F1527">
        <v>3.54</v>
      </c>
    </row>
    <row r="1528" spans="1:6">
      <c r="A1528">
        <v>1470</v>
      </c>
      <c r="B1528" t="s">
        <v>1242</v>
      </c>
      <c r="C1528">
        <v>17.3</v>
      </c>
      <c r="D1528">
        <f>VLOOKUP(A1528,收盤價!A:C,3,0)</f>
        <v>0</v>
      </c>
      <c r="E1528" s="85">
        <v>-1</v>
      </c>
      <c r="F1528">
        <v>3.47</v>
      </c>
    </row>
    <row r="1529" spans="1:6">
      <c r="A1529">
        <v>1475</v>
      </c>
      <c r="B1529" t="s">
        <v>1247</v>
      </c>
      <c r="C1529">
        <v>9.5</v>
      </c>
      <c r="D1529">
        <f>VLOOKUP(A1529,收盤價!A:C,3,0)</f>
        <v>8.16</v>
      </c>
      <c r="E1529" s="85">
        <v>-1</v>
      </c>
      <c r="F1529">
        <v>3.41</v>
      </c>
    </row>
    <row r="1530" spans="1:6">
      <c r="A1530">
        <v>911626</v>
      </c>
      <c r="B1530" t="s">
        <v>1994</v>
      </c>
      <c r="C1530">
        <v>4.13</v>
      </c>
      <c r="D1530" t="e">
        <f>VLOOKUP(A1530,收盤價!A:B,3,0)</f>
        <v>#REF!</v>
      </c>
      <c r="E1530" s="85">
        <v>-1</v>
      </c>
      <c r="F1530">
        <v>3.35</v>
      </c>
    </row>
    <row r="1531" spans="1:6">
      <c r="A1531">
        <v>2718</v>
      </c>
      <c r="B1531" t="s">
        <v>322</v>
      </c>
      <c r="C1531">
        <v>38.799999999999997</v>
      </c>
      <c r="D1531" t="e">
        <f>VLOOKUP(A1531,收盤價!A:B,3,0)</f>
        <v>#REF!</v>
      </c>
      <c r="E1531" s="85">
        <v>-1</v>
      </c>
      <c r="F1531">
        <v>3.28</v>
      </c>
    </row>
    <row r="1532" spans="1:6">
      <c r="A1532">
        <v>3465</v>
      </c>
      <c r="B1532" t="s">
        <v>2125</v>
      </c>
      <c r="C1532">
        <v>12.7</v>
      </c>
      <c r="D1532" t="e">
        <f>VLOOKUP(A1532,收盤價!A:B,3,0)</f>
        <v>#REF!</v>
      </c>
      <c r="E1532" s="85">
        <v>-1</v>
      </c>
      <c r="F1532">
        <v>3.22</v>
      </c>
    </row>
    <row r="1533" spans="1:6">
      <c r="A1533">
        <v>3562</v>
      </c>
      <c r="B1533" t="s">
        <v>388</v>
      </c>
      <c r="C1533">
        <v>5.0999999999999996</v>
      </c>
      <c r="D1533" t="e">
        <f>VLOOKUP(A1533,收盤價!A:B,3,0)</f>
        <v>#REF!</v>
      </c>
      <c r="E1533" s="85">
        <v>-1</v>
      </c>
      <c r="F1533">
        <v>3.16</v>
      </c>
    </row>
    <row r="1534" spans="1:6">
      <c r="A1534">
        <v>4131</v>
      </c>
      <c r="B1534" t="s">
        <v>2177</v>
      </c>
      <c r="C1534">
        <v>9.8800000000000008</v>
      </c>
      <c r="D1534" t="e">
        <f>VLOOKUP(A1534,收盤價!A:B,3,0)</f>
        <v>#REF!</v>
      </c>
      <c r="E1534" s="85">
        <v>-1</v>
      </c>
      <c r="F1534">
        <v>3.1</v>
      </c>
    </row>
    <row r="1535" spans="1:6">
      <c r="A1535">
        <v>4304</v>
      </c>
      <c r="B1535" t="s">
        <v>418</v>
      </c>
      <c r="C1535">
        <v>16.8</v>
      </c>
      <c r="D1535" t="e">
        <f>VLOOKUP(A1535,收盤價!A:B,3,0)</f>
        <v>#REF!</v>
      </c>
      <c r="E1535" s="85">
        <v>-1</v>
      </c>
      <c r="F1535">
        <v>3.03</v>
      </c>
    </row>
    <row r="1536" spans="1:6">
      <c r="A1536">
        <v>5348</v>
      </c>
      <c r="B1536" t="s">
        <v>2266</v>
      </c>
      <c r="C1536">
        <v>7.6</v>
      </c>
      <c r="D1536" t="e">
        <f>VLOOKUP(A1536,收盤價!A:B,3,0)</f>
        <v>#REF!</v>
      </c>
      <c r="E1536" s="85">
        <v>-1</v>
      </c>
      <c r="F1536">
        <v>2.97</v>
      </c>
    </row>
    <row r="1537" spans="1:6">
      <c r="A1537">
        <v>5604</v>
      </c>
      <c r="B1537" t="s">
        <v>2300</v>
      </c>
      <c r="C1537">
        <v>36</v>
      </c>
      <c r="D1537" t="e">
        <f>VLOOKUP(A1537,收盤價!A:B,3,0)</f>
        <v>#REF!</v>
      </c>
      <c r="E1537" s="85">
        <v>-1</v>
      </c>
      <c r="F1537">
        <v>2.91</v>
      </c>
    </row>
    <row r="1538" spans="1:6">
      <c r="A1538">
        <v>6199</v>
      </c>
      <c r="B1538" t="s">
        <v>2469</v>
      </c>
      <c r="C1538">
        <v>11.1</v>
      </c>
      <c r="D1538" t="e">
        <f>VLOOKUP(A1538,收盤價!A:B,3,0)</f>
        <v>#REF!</v>
      </c>
      <c r="E1538" s="85">
        <v>-1</v>
      </c>
      <c r="F1538">
        <v>2.84</v>
      </c>
    </row>
    <row r="1539" spans="1:6">
      <c r="A1539">
        <v>6240</v>
      </c>
      <c r="B1539" t="s">
        <v>2359</v>
      </c>
      <c r="C1539">
        <v>21.4</v>
      </c>
      <c r="D1539" t="e">
        <f>VLOOKUP(A1539,收盤價!A:B,3,0)</f>
        <v>#REF!</v>
      </c>
      <c r="E1539" s="85">
        <v>-1</v>
      </c>
      <c r="F1539">
        <v>2.78</v>
      </c>
    </row>
    <row r="1540" spans="1:6">
      <c r="A1540">
        <v>8917</v>
      </c>
      <c r="B1540" t="s">
        <v>569</v>
      </c>
      <c r="C1540">
        <v>50</v>
      </c>
      <c r="D1540" t="e">
        <f>VLOOKUP(A1540,收盤價!A:B,3,0)</f>
        <v>#REF!</v>
      </c>
      <c r="E1540" s="85">
        <v>-1</v>
      </c>
      <c r="F1540">
        <v>2.72</v>
      </c>
    </row>
    <row r="1541" spans="1:6">
      <c r="A1541">
        <v>8921</v>
      </c>
      <c r="B1541" t="s">
        <v>2442</v>
      </c>
      <c r="C1541">
        <v>19.149999999999999</v>
      </c>
      <c r="D1541" t="e">
        <f>VLOOKUP(A1541,收盤價!A:B,3,0)</f>
        <v>#REF!</v>
      </c>
      <c r="E1541" s="85">
        <v>-1</v>
      </c>
      <c r="F1541">
        <v>2.65</v>
      </c>
    </row>
    <row r="1542" spans="1:6">
      <c r="A1542">
        <v>1109</v>
      </c>
      <c r="B1542" t="s">
        <v>2457</v>
      </c>
      <c r="C1542">
        <v>12.2</v>
      </c>
      <c r="D1542" t="e">
        <f>VLOOKUP(A1542,收盤價!A:C,3,0)</f>
        <v>#N/A</v>
      </c>
      <c r="F1542">
        <v>2.59</v>
      </c>
    </row>
    <row r="1543" spans="1:6">
      <c r="A1543" t="s">
        <v>300</v>
      </c>
      <c r="B1543" t="s">
        <v>1185</v>
      </c>
      <c r="C1543">
        <v>0</v>
      </c>
      <c r="F1543">
        <v>2.5299999999999998</v>
      </c>
    </row>
    <row r="1544" spans="1:6">
      <c r="A1544">
        <v>1905</v>
      </c>
      <c r="B1544" t="s">
        <v>2458</v>
      </c>
      <c r="C1544">
        <v>9.31</v>
      </c>
      <c r="D1544">
        <f>VLOOKUP(A1544,收盤價!A:C,3,0)</f>
        <v>10.45</v>
      </c>
      <c r="F1544">
        <v>2.46</v>
      </c>
    </row>
    <row r="1545" spans="1:6">
      <c r="A1545">
        <v>2348</v>
      </c>
      <c r="B1545" t="s">
        <v>1428</v>
      </c>
      <c r="C1545">
        <v>0</v>
      </c>
      <c r="F1545">
        <v>2.4</v>
      </c>
    </row>
    <row r="1546" spans="1:6">
      <c r="A1546">
        <v>2429</v>
      </c>
      <c r="B1546" t="s">
        <v>1488</v>
      </c>
      <c r="C1546">
        <v>0</v>
      </c>
      <c r="F1546">
        <v>2.34</v>
      </c>
    </row>
    <row r="1547" spans="1:6">
      <c r="A1547">
        <v>2472</v>
      </c>
      <c r="B1547" t="s">
        <v>2459</v>
      </c>
      <c r="C1547">
        <v>31.85</v>
      </c>
      <c r="D1547" t="e">
        <f>VLOOKUP(A1547,收盤價!A:B,3,0)</f>
        <v>#REF!</v>
      </c>
      <c r="F1547">
        <v>2.27</v>
      </c>
    </row>
    <row r="1548" spans="1:6">
      <c r="A1548">
        <v>2496</v>
      </c>
      <c r="B1548" t="s">
        <v>1540</v>
      </c>
      <c r="C1548">
        <v>0</v>
      </c>
      <c r="F1548">
        <v>2.21</v>
      </c>
    </row>
    <row r="1549" spans="1:6">
      <c r="A1549">
        <v>2833</v>
      </c>
      <c r="B1549" t="s">
        <v>2460</v>
      </c>
      <c r="C1549">
        <v>33.200000000000003</v>
      </c>
      <c r="D1549" t="e">
        <f>VLOOKUP(A1549,收盤價!A:B,3,0)</f>
        <v>#N/A</v>
      </c>
      <c r="F1549">
        <v>2.15</v>
      </c>
    </row>
    <row r="1550" spans="1:6">
      <c r="A1550" t="s">
        <v>2461</v>
      </c>
      <c r="B1550" t="s">
        <v>2462</v>
      </c>
      <c r="C1550">
        <v>37.450000000000003</v>
      </c>
      <c r="D1550" t="e">
        <f>VLOOKUP(A1550,收盤價!A:B,3,0)</f>
        <v>#N/A</v>
      </c>
      <c r="F1550">
        <v>2.08</v>
      </c>
    </row>
    <row r="1551" spans="1:6">
      <c r="A1551">
        <v>3015</v>
      </c>
      <c r="B1551" t="s">
        <v>2463</v>
      </c>
      <c r="C1551">
        <v>18.600000000000001</v>
      </c>
      <c r="D1551" t="e">
        <f>VLOOKUP(A1551,收盤價!A:B,3,0)</f>
        <v>#N/A</v>
      </c>
      <c r="F1551">
        <v>2.02</v>
      </c>
    </row>
    <row r="1552" spans="1:6">
      <c r="A1552">
        <v>910708</v>
      </c>
      <c r="B1552" t="s">
        <v>1984</v>
      </c>
      <c r="C1552">
        <v>0</v>
      </c>
      <c r="F1552">
        <v>1.96</v>
      </c>
    </row>
    <row r="1553" spans="1:6">
      <c r="A1553">
        <v>911608</v>
      </c>
      <c r="B1553" t="s">
        <v>1988</v>
      </c>
      <c r="C1553">
        <v>0</v>
      </c>
      <c r="F1553">
        <v>1.9</v>
      </c>
    </row>
    <row r="1554" spans="1:6">
      <c r="A1554">
        <v>911622</v>
      </c>
      <c r="B1554" t="s">
        <v>1993</v>
      </c>
      <c r="C1554">
        <v>0</v>
      </c>
      <c r="F1554">
        <v>1.83</v>
      </c>
    </row>
    <row r="1555" spans="1:6">
      <c r="A1555">
        <v>912398</v>
      </c>
      <c r="B1555" t="s">
        <v>1997</v>
      </c>
      <c r="C1555">
        <v>0</v>
      </c>
      <c r="F1555">
        <v>1.77</v>
      </c>
    </row>
    <row r="1556" spans="1:6">
      <c r="A1556">
        <v>3073</v>
      </c>
      <c r="B1556" t="s">
        <v>2074</v>
      </c>
      <c r="C1556">
        <v>0</v>
      </c>
      <c r="F1556">
        <v>1.71</v>
      </c>
    </row>
    <row r="1557" spans="1:6">
      <c r="A1557">
        <v>3093</v>
      </c>
      <c r="B1557" t="s">
        <v>331</v>
      </c>
      <c r="C1557">
        <v>0</v>
      </c>
      <c r="F1557">
        <v>1.64</v>
      </c>
    </row>
    <row r="1558" spans="1:6">
      <c r="A1558">
        <v>3162</v>
      </c>
      <c r="B1558" t="s">
        <v>2086</v>
      </c>
      <c r="C1558">
        <v>0</v>
      </c>
      <c r="F1558">
        <v>1.58</v>
      </c>
    </row>
    <row r="1559" spans="1:6">
      <c r="A1559">
        <v>3521</v>
      </c>
      <c r="B1559" t="s">
        <v>2133</v>
      </c>
      <c r="C1559">
        <v>0</v>
      </c>
      <c r="F1559">
        <v>1.52</v>
      </c>
    </row>
    <row r="1560" spans="1:6">
      <c r="A1560">
        <v>4413</v>
      </c>
      <c r="B1560" t="s">
        <v>2195</v>
      </c>
      <c r="C1560">
        <v>0</v>
      </c>
      <c r="F1560">
        <v>1.45</v>
      </c>
    </row>
    <row r="1561" spans="1:6">
      <c r="A1561">
        <v>4419</v>
      </c>
      <c r="B1561" t="s">
        <v>2198</v>
      </c>
      <c r="C1561">
        <v>0</v>
      </c>
      <c r="F1561">
        <v>1.39</v>
      </c>
    </row>
    <row r="1562" spans="1:6">
      <c r="A1562">
        <v>4530</v>
      </c>
      <c r="B1562" t="s">
        <v>2210</v>
      </c>
      <c r="C1562">
        <v>0</v>
      </c>
      <c r="F1562">
        <v>1.33</v>
      </c>
    </row>
    <row r="1563" spans="1:6">
      <c r="A1563">
        <v>4703</v>
      </c>
      <c r="B1563" t="s">
        <v>817</v>
      </c>
      <c r="C1563">
        <v>25.1</v>
      </c>
      <c r="D1563" t="e">
        <f>VLOOKUP(A1563,收盤價!A:B,3,0)</f>
        <v>#N/A</v>
      </c>
      <c r="F1563">
        <v>1.26</v>
      </c>
    </row>
    <row r="1564" spans="1:6">
      <c r="A1564">
        <v>5205</v>
      </c>
      <c r="B1564" t="s">
        <v>2246</v>
      </c>
      <c r="C1564">
        <v>0</v>
      </c>
      <c r="F1564">
        <v>1.2</v>
      </c>
    </row>
    <row r="1565" spans="1:6">
      <c r="A1565">
        <v>5364</v>
      </c>
      <c r="B1565" t="s">
        <v>2473</v>
      </c>
      <c r="C1565">
        <v>0</v>
      </c>
      <c r="F1565">
        <v>1.1399999999999999</v>
      </c>
    </row>
    <row r="1566" spans="1:6">
      <c r="A1566">
        <v>5403</v>
      </c>
      <c r="B1566" t="s">
        <v>2466</v>
      </c>
      <c r="C1566">
        <v>22.2</v>
      </c>
      <c r="D1566" t="e">
        <f>VLOOKUP(A1566,收盤價!A:B,3,0)</f>
        <v>#REF!</v>
      </c>
      <c r="F1566">
        <v>1.07</v>
      </c>
    </row>
    <row r="1567" spans="1:6">
      <c r="A1567">
        <v>5432</v>
      </c>
      <c r="B1567" t="s">
        <v>2277</v>
      </c>
      <c r="C1567">
        <v>0</v>
      </c>
      <c r="F1567">
        <v>1.01</v>
      </c>
    </row>
    <row r="1568" spans="1:6">
      <c r="A1568">
        <v>6135</v>
      </c>
      <c r="B1568" t="s">
        <v>947</v>
      </c>
      <c r="C1568">
        <v>9.4499999999999993</v>
      </c>
      <c r="D1568" t="e">
        <f>VLOOKUP(A1568,收盤價!A:B,3,0)</f>
        <v>#N/A</v>
      </c>
      <c r="F1568">
        <v>0.95</v>
      </c>
    </row>
    <row r="1569" spans="1:6">
      <c r="A1569">
        <v>6144</v>
      </c>
      <c r="B1569" t="s">
        <v>2331</v>
      </c>
      <c r="C1569">
        <v>0</v>
      </c>
      <c r="F1569">
        <v>0.88</v>
      </c>
    </row>
    <row r="1570" spans="1:6">
      <c r="A1570">
        <v>6156</v>
      </c>
      <c r="B1570" t="s">
        <v>2468</v>
      </c>
      <c r="C1570">
        <v>12.6</v>
      </c>
      <c r="D1570" t="e">
        <f>VLOOKUP(A1570,收盤價!A:B,3,0)</f>
        <v>#REF!</v>
      </c>
      <c r="F1570">
        <v>0.82</v>
      </c>
    </row>
    <row r="1571" spans="1:6">
      <c r="A1571">
        <v>6212</v>
      </c>
      <c r="B1571" t="s">
        <v>513</v>
      </c>
      <c r="C1571">
        <v>0</v>
      </c>
      <c r="F1571">
        <v>0.76</v>
      </c>
    </row>
    <row r="1572" spans="1:6">
      <c r="A1572">
        <v>6242</v>
      </c>
      <c r="B1572" t="s">
        <v>2360</v>
      </c>
      <c r="C1572">
        <v>0</v>
      </c>
      <c r="F1572">
        <v>0.69</v>
      </c>
    </row>
    <row r="1573" spans="1:6">
      <c r="A1573">
        <v>6250</v>
      </c>
      <c r="B1573" t="s">
        <v>527</v>
      </c>
      <c r="C1573">
        <v>37.200000000000003</v>
      </c>
      <c r="D1573" t="e">
        <f>VLOOKUP(A1573,收盤價!A:B,3,0)</f>
        <v>#N/A</v>
      </c>
      <c r="F1573">
        <v>0.63</v>
      </c>
    </row>
    <row r="1574" spans="1:6">
      <c r="A1574">
        <v>8047</v>
      </c>
      <c r="B1574" t="s">
        <v>2388</v>
      </c>
      <c r="C1574">
        <v>0</v>
      </c>
      <c r="F1574">
        <v>0.56999999999999995</v>
      </c>
    </row>
    <row r="1575" spans="1:6">
      <c r="A1575">
        <v>8067</v>
      </c>
      <c r="B1575" t="s">
        <v>2395</v>
      </c>
      <c r="C1575">
        <v>0</v>
      </c>
      <c r="F1575">
        <v>0.51</v>
      </c>
    </row>
    <row r="1576" spans="1:6">
      <c r="A1576">
        <v>8077</v>
      </c>
      <c r="B1576" t="s">
        <v>2470</v>
      </c>
      <c r="C1576">
        <v>0</v>
      </c>
      <c r="F1576">
        <v>0.44</v>
      </c>
    </row>
    <row r="1577" spans="1:6">
      <c r="A1577">
        <v>8097</v>
      </c>
      <c r="B1577" t="s">
        <v>2407</v>
      </c>
      <c r="C1577">
        <v>0</v>
      </c>
      <c r="F1577">
        <v>0.38</v>
      </c>
    </row>
    <row r="1578" spans="1:6">
      <c r="A1578">
        <v>8291</v>
      </c>
      <c r="B1578" t="s">
        <v>2424</v>
      </c>
      <c r="C1578">
        <v>0</v>
      </c>
      <c r="F1578">
        <v>0.32</v>
      </c>
    </row>
    <row r="1579" spans="1:6">
      <c r="A1579">
        <v>8423</v>
      </c>
      <c r="B1579" t="s">
        <v>2435</v>
      </c>
      <c r="C1579">
        <v>0</v>
      </c>
      <c r="F1579">
        <v>0.25</v>
      </c>
    </row>
    <row r="1580" spans="1:6">
      <c r="A1580">
        <v>8908</v>
      </c>
      <c r="B1580" t="s">
        <v>566</v>
      </c>
      <c r="C1580">
        <v>0</v>
      </c>
      <c r="F1580">
        <v>0.19</v>
      </c>
    </row>
    <row r="1581" spans="1:6">
      <c r="A1581">
        <v>8923</v>
      </c>
      <c r="B1581" t="s">
        <v>2443</v>
      </c>
      <c r="C1581">
        <v>0</v>
      </c>
      <c r="F1581">
        <v>0.13</v>
      </c>
    </row>
    <row r="1582" spans="1:6">
      <c r="A1582">
        <v>8932</v>
      </c>
      <c r="B1582" t="s">
        <v>2447</v>
      </c>
      <c r="C1582">
        <v>0</v>
      </c>
      <c r="F1582">
        <v>0.06</v>
      </c>
    </row>
    <row r="1583" spans="1:6">
      <c r="A1583">
        <v>8934</v>
      </c>
      <c r="B1583" t="s">
        <v>2449</v>
      </c>
      <c r="C1583">
        <v>0</v>
      </c>
      <c r="F1583">
        <v>0</v>
      </c>
    </row>
    <row r="1584" spans="1:6">
      <c r="A1584">
        <v>911613</v>
      </c>
      <c r="B1584" t="s">
        <v>2453</v>
      </c>
      <c r="C1584">
        <v>0</v>
      </c>
      <c r="F1584">
        <v>-0.06</v>
      </c>
    </row>
  </sheetData>
  <sortState ref="A2:F1584">
    <sortCondition descending="1" ref="F2:F1584"/>
  </sortState>
  <phoneticPr fontId="2"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篩股結果"/>
  <dimension ref="A1:AC1544"/>
  <sheetViews>
    <sheetView zoomScale="80" zoomScaleNormal="80" workbookViewId="0">
      <pane xSplit="1" ySplit="1" topLeftCell="B2" activePane="bottomRight" state="frozen"/>
      <selection pane="topRight" activeCell="B1" sqref="B1"/>
      <selection pane="bottomLeft" activeCell="A2" sqref="A2"/>
      <selection pane="bottomRight" activeCell="D12" sqref="D12:D13"/>
    </sheetView>
  </sheetViews>
  <sheetFormatPr defaultColWidth="9" defaultRowHeight="16.5"/>
  <cols>
    <col min="1" max="1" width="8.875" customWidth="1"/>
    <col min="2" max="4" width="12.875" bestFit="1" customWidth="1"/>
    <col min="5" max="11" width="8.25" customWidth="1"/>
    <col min="12" max="14" width="10.75" customWidth="1"/>
    <col min="15" max="26" width="8.875"/>
    <col min="27" max="28" width="9" style="61"/>
    <col min="29" max="29" width="8.875" customWidth="1"/>
    <col min="30" max="16384" width="9" style="61"/>
  </cols>
  <sheetData>
    <row r="1" spans="1:1" ht="27.75" customHeight="1">
      <c r="A1" t="s">
        <v>240</v>
      </c>
    </row>
    <row r="2" spans="1:1">
      <c r="A2">
        <v>1101</v>
      </c>
    </row>
    <row r="3" spans="1:1">
      <c r="A3">
        <v>1102</v>
      </c>
    </row>
    <row r="4" spans="1:1">
      <c r="A4">
        <v>1103</v>
      </c>
    </row>
    <row r="5" spans="1:1">
      <c r="A5">
        <v>1104</v>
      </c>
    </row>
    <row r="6" spans="1:1">
      <c r="A6">
        <v>1108</v>
      </c>
    </row>
    <row r="7" spans="1:1">
      <c r="A7">
        <v>1109</v>
      </c>
    </row>
    <row r="8" spans="1:1">
      <c r="A8">
        <v>1110</v>
      </c>
    </row>
    <row r="9" spans="1:1">
      <c r="A9">
        <v>1201</v>
      </c>
    </row>
    <row r="10" spans="1:1">
      <c r="A10">
        <v>1203</v>
      </c>
    </row>
    <row r="11" spans="1:1">
      <c r="A11">
        <v>1213</v>
      </c>
    </row>
    <row r="12" spans="1:1">
      <c r="A12">
        <v>1215</v>
      </c>
    </row>
    <row r="13" spans="1:1">
      <c r="A13">
        <v>1216</v>
      </c>
    </row>
    <row r="14" spans="1:1">
      <c r="A14">
        <v>1217</v>
      </c>
    </row>
    <row r="15" spans="1:1">
      <c r="A15">
        <v>1218</v>
      </c>
    </row>
    <row r="16" spans="1:1">
      <c r="A16">
        <v>1219</v>
      </c>
    </row>
    <row r="17" spans="1:1">
      <c r="A17">
        <v>1220</v>
      </c>
    </row>
    <row r="18" spans="1:1">
      <c r="A18">
        <v>1225</v>
      </c>
    </row>
    <row r="19" spans="1:1">
      <c r="A19">
        <v>1227</v>
      </c>
    </row>
    <row r="20" spans="1:1">
      <c r="A20">
        <v>1229</v>
      </c>
    </row>
    <row r="21" spans="1:1">
      <c r="A21">
        <v>1231</v>
      </c>
    </row>
    <row r="22" spans="1:1">
      <c r="A22">
        <v>1232</v>
      </c>
    </row>
    <row r="23" spans="1:1">
      <c r="A23">
        <v>1233</v>
      </c>
    </row>
    <row r="24" spans="1:1">
      <c r="A24">
        <v>1234</v>
      </c>
    </row>
    <row r="25" spans="1:1">
      <c r="A25">
        <v>1235</v>
      </c>
    </row>
    <row r="26" spans="1:1">
      <c r="A26">
        <v>1236</v>
      </c>
    </row>
    <row r="27" spans="1:1">
      <c r="A27">
        <v>1256</v>
      </c>
    </row>
    <row r="28" spans="1:1">
      <c r="A28">
        <v>1258</v>
      </c>
    </row>
    <row r="29" spans="1:1">
      <c r="A29">
        <v>1259</v>
      </c>
    </row>
    <row r="30" spans="1:1">
      <c r="A30">
        <v>1262</v>
      </c>
    </row>
    <row r="31" spans="1:1">
      <c r="A31">
        <v>1264</v>
      </c>
    </row>
    <row r="32" spans="1:1">
      <c r="A32">
        <v>1301</v>
      </c>
    </row>
    <row r="33" spans="1:1">
      <c r="A33">
        <v>1303</v>
      </c>
    </row>
    <row r="34" spans="1:1">
      <c r="A34">
        <v>1304</v>
      </c>
    </row>
    <row r="35" spans="1:1">
      <c r="A35">
        <v>1305</v>
      </c>
    </row>
    <row r="36" spans="1:1">
      <c r="A36">
        <v>1307</v>
      </c>
    </row>
    <row r="37" spans="1:1">
      <c r="A37">
        <v>1308</v>
      </c>
    </row>
    <row r="38" spans="1:1">
      <c r="A38">
        <v>1309</v>
      </c>
    </row>
    <row r="39" spans="1:1">
      <c r="A39">
        <v>1310</v>
      </c>
    </row>
    <row r="40" spans="1:1">
      <c r="A40">
        <v>1312</v>
      </c>
    </row>
    <row r="41" spans="1:1">
      <c r="A41">
        <v>1313</v>
      </c>
    </row>
    <row r="42" spans="1:1">
      <c r="A42">
        <v>1314</v>
      </c>
    </row>
    <row r="43" spans="1:1">
      <c r="A43">
        <v>1315</v>
      </c>
    </row>
    <row r="44" spans="1:1">
      <c r="A44">
        <v>1316</v>
      </c>
    </row>
    <row r="45" spans="1:1">
      <c r="A45">
        <v>1319</v>
      </c>
    </row>
    <row r="46" spans="1:1">
      <c r="A46">
        <v>1321</v>
      </c>
    </row>
    <row r="47" spans="1:1">
      <c r="A47">
        <v>1323</v>
      </c>
    </row>
    <row r="48" spans="1:1">
      <c r="A48">
        <v>1324</v>
      </c>
    </row>
    <row r="49" spans="1:1">
      <c r="A49">
        <v>1325</v>
      </c>
    </row>
    <row r="50" spans="1:1">
      <c r="A50">
        <v>1326</v>
      </c>
    </row>
    <row r="51" spans="1:1">
      <c r="A51">
        <v>1333</v>
      </c>
    </row>
    <row r="52" spans="1:1">
      <c r="A52">
        <v>1336</v>
      </c>
    </row>
    <row r="53" spans="1:1">
      <c r="A53">
        <v>1337</v>
      </c>
    </row>
    <row r="54" spans="1:1">
      <c r="A54">
        <v>1338</v>
      </c>
    </row>
    <row r="55" spans="1:1">
      <c r="A55">
        <v>1339</v>
      </c>
    </row>
    <row r="56" spans="1:1">
      <c r="A56">
        <v>1340</v>
      </c>
    </row>
    <row r="57" spans="1:1">
      <c r="A57">
        <v>1402</v>
      </c>
    </row>
    <row r="58" spans="1:1">
      <c r="A58">
        <v>1409</v>
      </c>
    </row>
    <row r="59" spans="1:1">
      <c r="A59">
        <v>1410</v>
      </c>
    </row>
    <row r="60" spans="1:1">
      <c r="A60">
        <v>1413</v>
      </c>
    </row>
    <row r="61" spans="1:1">
      <c r="A61">
        <v>1414</v>
      </c>
    </row>
    <row r="62" spans="1:1">
      <c r="A62">
        <v>1416</v>
      </c>
    </row>
    <row r="63" spans="1:1">
      <c r="A63">
        <v>1417</v>
      </c>
    </row>
    <row r="64" spans="1:1">
      <c r="A64">
        <v>1418</v>
      </c>
    </row>
    <row r="65" spans="1:1">
      <c r="A65">
        <v>1419</v>
      </c>
    </row>
    <row r="66" spans="1:1">
      <c r="A66">
        <v>1423</v>
      </c>
    </row>
    <row r="67" spans="1:1">
      <c r="A67">
        <v>1432</v>
      </c>
    </row>
    <row r="68" spans="1:1">
      <c r="A68">
        <v>1434</v>
      </c>
    </row>
    <row r="69" spans="1:1">
      <c r="A69">
        <v>1435</v>
      </c>
    </row>
    <row r="70" spans="1:1">
      <c r="A70">
        <v>1436</v>
      </c>
    </row>
    <row r="71" spans="1:1">
      <c r="A71">
        <v>1437</v>
      </c>
    </row>
    <row r="72" spans="1:1">
      <c r="A72">
        <v>1438</v>
      </c>
    </row>
    <row r="73" spans="1:1">
      <c r="A73">
        <v>1439</v>
      </c>
    </row>
    <row r="74" spans="1:1">
      <c r="A74">
        <v>1440</v>
      </c>
    </row>
    <row r="75" spans="1:1">
      <c r="A75">
        <v>1441</v>
      </c>
    </row>
    <row r="76" spans="1:1">
      <c r="A76">
        <v>1442</v>
      </c>
    </row>
    <row r="77" spans="1:1">
      <c r="A77">
        <v>1443</v>
      </c>
    </row>
    <row r="78" spans="1:1">
      <c r="A78">
        <v>1444</v>
      </c>
    </row>
    <row r="79" spans="1:1">
      <c r="A79">
        <v>1445</v>
      </c>
    </row>
    <row r="80" spans="1:1">
      <c r="A80">
        <v>1446</v>
      </c>
    </row>
    <row r="81" spans="1:1">
      <c r="A81">
        <v>1447</v>
      </c>
    </row>
    <row r="82" spans="1:1">
      <c r="A82">
        <v>1449</v>
      </c>
    </row>
    <row r="83" spans="1:1">
      <c r="A83">
        <v>1451</v>
      </c>
    </row>
    <row r="84" spans="1:1">
      <c r="A84">
        <v>1452</v>
      </c>
    </row>
    <row r="85" spans="1:1">
      <c r="A85">
        <v>1453</v>
      </c>
    </row>
    <row r="86" spans="1:1">
      <c r="A86">
        <v>1454</v>
      </c>
    </row>
    <row r="87" spans="1:1">
      <c r="A87">
        <v>1455</v>
      </c>
    </row>
    <row r="88" spans="1:1">
      <c r="A88">
        <v>1456</v>
      </c>
    </row>
    <row r="89" spans="1:1">
      <c r="A89">
        <v>1457</v>
      </c>
    </row>
    <row r="90" spans="1:1">
      <c r="A90">
        <v>1459</v>
      </c>
    </row>
    <row r="91" spans="1:1">
      <c r="A91">
        <v>1460</v>
      </c>
    </row>
    <row r="92" spans="1:1">
      <c r="A92">
        <v>1463</v>
      </c>
    </row>
    <row r="93" spans="1:1">
      <c r="A93">
        <v>1464</v>
      </c>
    </row>
    <row r="94" spans="1:1">
      <c r="A94">
        <v>1465</v>
      </c>
    </row>
    <row r="95" spans="1:1">
      <c r="A95">
        <v>1466</v>
      </c>
    </row>
    <row r="96" spans="1:1">
      <c r="A96">
        <v>1467</v>
      </c>
    </row>
    <row r="97" spans="1:1">
      <c r="A97">
        <v>1468</v>
      </c>
    </row>
    <row r="98" spans="1:1">
      <c r="A98">
        <v>1469</v>
      </c>
    </row>
    <row r="99" spans="1:1">
      <c r="A99">
        <v>1470</v>
      </c>
    </row>
    <row r="100" spans="1:1">
      <c r="A100">
        <v>1471</v>
      </c>
    </row>
    <row r="101" spans="1:1">
      <c r="A101">
        <v>1472</v>
      </c>
    </row>
    <row r="102" spans="1:1">
      <c r="A102">
        <v>1473</v>
      </c>
    </row>
    <row r="103" spans="1:1">
      <c r="A103">
        <v>1474</v>
      </c>
    </row>
    <row r="104" spans="1:1">
      <c r="A104">
        <v>1475</v>
      </c>
    </row>
    <row r="105" spans="1:1">
      <c r="A105">
        <v>1476</v>
      </c>
    </row>
    <row r="106" spans="1:1">
      <c r="A106">
        <v>1477</v>
      </c>
    </row>
    <row r="107" spans="1:1">
      <c r="A107">
        <v>1503</v>
      </c>
    </row>
    <row r="108" spans="1:1">
      <c r="A108">
        <v>1504</v>
      </c>
    </row>
    <row r="109" spans="1:1">
      <c r="A109">
        <v>1506</v>
      </c>
    </row>
    <row r="110" spans="1:1">
      <c r="A110">
        <v>1507</v>
      </c>
    </row>
    <row r="111" spans="1:1">
      <c r="A111">
        <v>1512</v>
      </c>
    </row>
    <row r="112" spans="1:1">
      <c r="A112">
        <v>1513</v>
      </c>
    </row>
    <row r="113" spans="1:1">
      <c r="A113">
        <v>1514</v>
      </c>
    </row>
    <row r="114" spans="1:1">
      <c r="A114">
        <v>1515</v>
      </c>
    </row>
    <row r="115" spans="1:1">
      <c r="A115">
        <v>1516</v>
      </c>
    </row>
    <row r="116" spans="1:1">
      <c r="A116">
        <v>1517</v>
      </c>
    </row>
    <row r="117" spans="1:1">
      <c r="A117">
        <v>1519</v>
      </c>
    </row>
    <row r="118" spans="1:1">
      <c r="A118">
        <v>1521</v>
      </c>
    </row>
    <row r="119" spans="1:1">
      <c r="A119">
        <v>1522</v>
      </c>
    </row>
    <row r="120" spans="1:1">
      <c r="A120">
        <v>1524</v>
      </c>
    </row>
    <row r="121" spans="1:1">
      <c r="A121">
        <v>1525</v>
      </c>
    </row>
    <row r="122" spans="1:1">
      <c r="A122">
        <v>1526</v>
      </c>
    </row>
    <row r="123" spans="1:1">
      <c r="A123">
        <v>1527</v>
      </c>
    </row>
    <row r="124" spans="1:1">
      <c r="A124">
        <v>1528</v>
      </c>
    </row>
    <row r="125" spans="1:1">
      <c r="A125">
        <v>1529</v>
      </c>
    </row>
    <row r="126" spans="1:1">
      <c r="A126">
        <v>1530</v>
      </c>
    </row>
    <row r="127" spans="1:1">
      <c r="A127">
        <v>1531</v>
      </c>
    </row>
    <row r="128" spans="1:1">
      <c r="A128">
        <v>1532</v>
      </c>
    </row>
    <row r="129" spans="1:1">
      <c r="A129">
        <v>1533</v>
      </c>
    </row>
    <row r="130" spans="1:1">
      <c r="A130">
        <v>1535</v>
      </c>
    </row>
    <row r="131" spans="1:1">
      <c r="A131">
        <v>1536</v>
      </c>
    </row>
    <row r="132" spans="1:1">
      <c r="A132">
        <v>1537</v>
      </c>
    </row>
    <row r="133" spans="1:1">
      <c r="A133">
        <v>1538</v>
      </c>
    </row>
    <row r="134" spans="1:1">
      <c r="A134">
        <v>1539</v>
      </c>
    </row>
    <row r="135" spans="1:1">
      <c r="A135">
        <v>1540</v>
      </c>
    </row>
    <row r="136" spans="1:1">
      <c r="A136">
        <v>1541</v>
      </c>
    </row>
    <row r="137" spans="1:1">
      <c r="A137">
        <v>1558</v>
      </c>
    </row>
    <row r="138" spans="1:1">
      <c r="A138">
        <v>1560</v>
      </c>
    </row>
    <row r="139" spans="1:1">
      <c r="A139">
        <v>1565</v>
      </c>
    </row>
    <row r="140" spans="1:1">
      <c r="A140">
        <v>1566</v>
      </c>
    </row>
    <row r="141" spans="1:1">
      <c r="A141">
        <v>1568</v>
      </c>
    </row>
    <row r="142" spans="1:1">
      <c r="A142">
        <v>1569</v>
      </c>
    </row>
    <row r="143" spans="1:1">
      <c r="A143">
        <v>1570</v>
      </c>
    </row>
    <row r="144" spans="1:1">
      <c r="A144">
        <v>1580</v>
      </c>
    </row>
    <row r="145" spans="1:1">
      <c r="A145">
        <v>1582</v>
      </c>
    </row>
    <row r="146" spans="1:1">
      <c r="A146">
        <v>1583</v>
      </c>
    </row>
    <row r="147" spans="1:1">
      <c r="A147">
        <v>1584</v>
      </c>
    </row>
    <row r="148" spans="1:1">
      <c r="A148">
        <v>1586</v>
      </c>
    </row>
    <row r="149" spans="1:1">
      <c r="A149">
        <v>1589</v>
      </c>
    </row>
    <row r="150" spans="1:1">
      <c r="A150">
        <v>1590</v>
      </c>
    </row>
    <row r="151" spans="1:1">
      <c r="A151">
        <v>1591</v>
      </c>
    </row>
    <row r="152" spans="1:1">
      <c r="A152">
        <v>1592</v>
      </c>
    </row>
    <row r="153" spans="1:1">
      <c r="A153">
        <v>1593</v>
      </c>
    </row>
    <row r="154" spans="1:1">
      <c r="A154">
        <v>1595</v>
      </c>
    </row>
    <row r="155" spans="1:1">
      <c r="A155">
        <v>1597</v>
      </c>
    </row>
    <row r="156" spans="1:1">
      <c r="A156">
        <v>1599</v>
      </c>
    </row>
    <row r="157" spans="1:1">
      <c r="A157">
        <v>1603</v>
      </c>
    </row>
    <row r="158" spans="1:1">
      <c r="A158">
        <v>1604</v>
      </c>
    </row>
    <row r="159" spans="1:1">
      <c r="A159">
        <v>1605</v>
      </c>
    </row>
    <row r="160" spans="1:1">
      <c r="A160">
        <v>1608</v>
      </c>
    </row>
    <row r="161" spans="1:1">
      <c r="A161">
        <v>1609</v>
      </c>
    </row>
    <row r="162" spans="1:1">
      <c r="A162">
        <v>1611</v>
      </c>
    </row>
    <row r="163" spans="1:1">
      <c r="A163">
        <v>1612</v>
      </c>
    </row>
    <row r="164" spans="1:1">
      <c r="A164">
        <v>1613</v>
      </c>
    </row>
    <row r="165" spans="1:1">
      <c r="A165">
        <v>1614</v>
      </c>
    </row>
    <row r="166" spans="1:1">
      <c r="A166">
        <v>1615</v>
      </c>
    </row>
    <row r="167" spans="1:1">
      <c r="A167">
        <v>1616</v>
      </c>
    </row>
    <row r="168" spans="1:1">
      <c r="A168">
        <v>1617</v>
      </c>
    </row>
    <row r="169" spans="1:1">
      <c r="A169">
        <v>1618</v>
      </c>
    </row>
    <row r="170" spans="1:1">
      <c r="A170">
        <v>1626</v>
      </c>
    </row>
    <row r="171" spans="1:1">
      <c r="A171">
        <v>1701</v>
      </c>
    </row>
    <row r="172" spans="1:1">
      <c r="A172">
        <v>1702</v>
      </c>
    </row>
    <row r="173" spans="1:1">
      <c r="A173">
        <v>1704</v>
      </c>
    </row>
    <row r="174" spans="1:1">
      <c r="A174">
        <v>1707</v>
      </c>
    </row>
    <row r="175" spans="1:1">
      <c r="A175">
        <v>1708</v>
      </c>
    </row>
    <row r="176" spans="1:1">
      <c r="A176">
        <v>1709</v>
      </c>
    </row>
    <row r="177" spans="1:1">
      <c r="A177">
        <v>1710</v>
      </c>
    </row>
    <row r="178" spans="1:1">
      <c r="A178">
        <v>1711</v>
      </c>
    </row>
    <row r="179" spans="1:1">
      <c r="A179">
        <v>1712</v>
      </c>
    </row>
    <row r="180" spans="1:1">
      <c r="A180">
        <v>1713</v>
      </c>
    </row>
    <row r="181" spans="1:1">
      <c r="A181">
        <v>1714</v>
      </c>
    </row>
    <row r="182" spans="1:1">
      <c r="A182">
        <v>1715</v>
      </c>
    </row>
    <row r="183" spans="1:1">
      <c r="A183">
        <v>1717</v>
      </c>
    </row>
    <row r="184" spans="1:1">
      <c r="A184">
        <v>1718</v>
      </c>
    </row>
    <row r="185" spans="1:1">
      <c r="A185">
        <v>1720</v>
      </c>
    </row>
    <row r="186" spans="1:1">
      <c r="A186">
        <v>1721</v>
      </c>
    </row>
    <row r="187" spans="1:1">
      <c r="A187">
        <v>1722</v>
      </c>
    </row>
    <row r="188" spans="1:1">
      <c r="A188">
        <v>1723</v>
      </c>
    </row>
    <row r="189" spans="1:1">
      <c r="A189">
        <v>1724</v>
      </c>
    </row>
    <row r="190" spans="1:1">
      <c r="A190">
        <v>1725</v>
      </c>
    </row>
    <row r="191" spans="1:1">
      <c r="A191">
        <v>1726</v>
      </c>
    </row>
    <row r="192" spans="1:1">
      <c r="A192">
        <v>1727</v>
      </c>
    </row>
    <row r="193" spans="1:1">
      <c r="A193">
        <v>1729</v>
      </c>
    </row>
    <row r="194" spans="1:1">
      <c r="A194">
        <v>1730</v>
      </c>
    </row>
    <row r="195" spans="1:1">
      <c r="A195">
        <v>1731</v>
      </c>
    </row>
    <row r="196" spans="1:1">
      <c r="A196">
        <v>1732</v>
      </c>
    </row>
    <row r="197" spans="1:1">
      <c r="A197">
        <v>1733</v>
      </c>
    </row>
    <row r="198" spans="1:1">
      <c r="A198">
        <v>1734</v>
      </c>
    </row>
    <row r="199" spans="1:1">
      <c r="A199">
        <v>1735</v>
      </c>
    </row>
    <row r="200" spans="1:1">
      <c r="A200">
        <v>1736</v>
      </c>
    </row>
    <row r="201" spans="1:1">
      <c r="A201">
        <v>1737</v>
      </c>
    </row>
    <row r="202" spans="1:1">
      <c r="A202">
        <v>1742</v>
      </c>
    </row>
    <row r="203" spans="1:1">
      <c r="A203">
        <v>1752</v>
      </c>
    </row>
    <row r="204" spans="1:1">
      <c r="A204">
        <v>1762</v>
      </c>
    </row>
    <row r="205" spans="1:1">
      <c r="A205">
        <v>1773</v>
      </c>
    </row>
    <row r="206" spans="1:1">
      <c r="A206">
        <v>1777</v>
      </c>
    </row>
    <row r="207" spans="1:1">
      <c r="A207">
        <v>1781</v>
      </c>
    </row>
    <row r="208" spans="1:1">
      <c r="A208">
        <v>1783</v>
      </c>
    </row>
    <row r="209" spans="1:1">
      <c r="A209">
        <v>1784</v>
      </c>
    </row>
    <row r="210" spans="1:1">
      <c r="A210">
        <v>1785</v>
      </c>
    </row>
    <row r="211" spans="1:1">
      <c r="A211">
        <v>1786</v>
      </c>
    </row>
    <row r="212" spans="1:1">
      <c r="A212">
        <v>1787</v>
      </c>
    </row>
    <row r="213" spans="1:1">
      <c r="A213">
        <v>1788</v>
      </c>
    </row>
    <row r="214" spans="1:1">
      <c r="A214">
        <v>1789</v>
      </c>
    </row>
    <row r="215" spans="1:1">
      <c r="A215">
        <v>1795</v>
      </c>
    </row>
    <row r="216" spans="1:1">
      <c r="A216">
        <v>1799</v>
      </c>
    </row>
    <row r="217" spans="1:1">
      <c r="A217">
        <v>1802</v>
      </c>
    </row>
    <row r="218" spans="1:1">
      <c r="A218">
        <v>1805</v>
      </c>
    </row>
    <row r="219" spans="1:1">
      <c r="A219">
        <v>1806</v>
      </c>
    </row>
    <row r="220" spans="1:1">
      <c r="A220">
        <v>1808</v>
      </c>
    </row>
    <row r="221" spans="1:1">
      <c r="A221">
        <v>1809</v>
      </c>
    </row>
    <row r="222" spans="1:1">
      <c r="A222">
        <v>1810</v>
      </c>
    </row>
    <row r="223" spans="1:1">
      <c r="A223">
        <v>1813</v>
      </c>
    </row>
    <row r="224" spans="1:1">
      <c r="A224">
        <v>1815</v>
      </c>
    </row>
    <row r="225" spans="1:1">
      <c r="A225">
        <v>1902</v>
      </c>
    </row>
    <row r="226" spans="1:1">
      <c r="A226">
        <v>1903</v>
      </c>
    </row>
    <row r="227" spans="1:1">
      <c r="A227">
        <v>1904</v>
      </c>
    </row>
    <row r="228" spans="1:1">
      <c r="A228">
        <v>1905</v>
      </c>
    </row>
    <row r="229" spans="1:1">
      <c r="A229">
        <v>1906</v>
      </c>
    </row>
    <row r="230" spans="1:1">
      <c r="A230">
        <v>1907</v>
      </c>
    </row>
    <row r="231" spans="1:1">
      <c r="A231">
        <v>1909</v>
      </c>
    </row>
    <row r="232" spans="1:1">
      <c r="A232">
        <v>2002</v>
      </c>
    </row>
    <row r="233" spans="1:1">
      <c r="A233">
        <v>2006</v>
      </c>
    </row>
    <row r="234" spans="1:1">
      <c r="A234">
        <v>2007</v>
      </c>
    </row>
    <row r="235" spans="1:1">
      <c r="A235">
        <v>2008</v>
      </c>
    </row>
    <row r="236" spans="1:1">
      <c r="A236">
        <v>2009</v>
      </c>
    </row>
    <row r="237" spans="1:1">
      <c r="A237">
        <v>2010</v>
      </c>
    </row>
    <row r="238" spans="1:1">
      <c r="A238">
        <v>2012</v>
      </c>
    </row>
    <row r="239" spans="1:1">
      <c r="A239">
        <v>2013</v>
      </c>
    </row>
    <row r="240" spans="1:1">
      <c r="A240">
        <v>2014</v>
      </c>
    </row>
    <row r="241" spans="1:1">
      <c r="A241">
        <v>2015</v>
      </c>
    </row>
    <row r="242" spans="1:1">
      <c r="A242">
        <v>2017</v>
      </c>
    </row>
    <row r="243" spans="1:1">
      <c r="A243">
        <v>2020</v>
      </c>
    </row>
    <row r="244" spans="1:1">
      <c r="A244">
        <v>2022</v>
      </c>
    </row>
    <row r="245" spans="1:1">
      <c r="A245">
        <v>2023</v>
      </c>
    </row>
    <row r="246" spans="1:1">
      <c r="A246">
        <v>2024</v>
      </c>
    </row>
    <row r="247" spans="1:1">
      <c r="A247">
        <v>2025</v>
      </c>
    </row>
    <row r="248" spans="1:1">
      <c r="A248">
        <v>2027</v>
      </c>
    </row>
    <row r="249" spans="1:1">
      <c r="A249">
        <v>2028</v>
      </c>
    </row>
    <row r="250" spans="1:1">
      <c r="A250">
        <v>2029</v>
      </c>
    </row>
    <row r="251" spans="1:1">
      <c r="A251">
        <v>2030</v>
      </c>
    </row>
    <row r="252" spans="1:1">
      <c r="A252">
        <v>2031</v>
      </c>
    </row>
    <row r="253" spans="1:1">
      <c r="A253">
        <v>2032</v>
      </c>
    </row>
    <row r="254" spans="1:1">
      <c r="A254">
        <v>2033</v>
      </c>
    </row>
    <row r="255" spans="1:1">
      <c r="A255">
        <v>2034</v>
      </c>
    </row>
    <row r="256" spans="1:1">
      <c r="A256">
        <v>2035</v>
      </c>
    </row>
    <row r="257" spans="1:1">
      <c r="A257">
        <v>2038</v>
      </c>
    </row>
    <row r="258" spans="1:1">
      <c r="A258">
        <v>2049</v>
      </c>
    </row>
    <row r="259" spans="1:1">
      <c r="A259">
        <v>2059</v>
      </c>
    </row>
    <row r="260" spans="1:1">
      <c r="A260">
        <v>2061</v>
      </c>
    </row>
    <row r="261" spans="1:1">
      <c r="A261">
        <v>2062</v>
      </c>
    </row>
    <row r="262" spans="1:1">
      <c r="A262">
        <v>2063</v>
      </c>
    </row>
    <row r="263" spans="1:1">
      <c r="A263">
        <v>2064</v>
      </c>
    </row>
    <row r="264" spans="1:1">
      <c r="A264">
        <v>2066</v>
      </c>
    </row>
    <row r="265" spans="1:1">
      <c r="A265">
        <v>2067</v>
      </c>
    </row>
    <row r="266" spans="1:1">
      <c r="A266">
        <v>2101</v>
      </c>
    </row>
    <row r="267" spans="1:1">
      <c r="A267">
        <v>2102</v>
      </c>
    </row>
    <row r="268" spans="1:1">
      <c r="A268">
        <v>2103</v>
      </c>
    </row>
    <row r="269" spans="1:1">
      <c r="A269">
        <v>2104</v>
      </c>
    </row>
    <row r="270" spans="1:1">
      <c r="A270">
        <v>2105</v>
      </c>
    </row>
    <row r="271" spans="1:1">
      <c r="A271">
        <v>2106</v>
      </c>
    </row>
    <row r="272" spans="1:1">
      <c r="A272">
        <v>2107</v>
      </c>
    </row>
    <row r="273" spans="1:1">
      <c r="A273">
        <v>2108</v>
      </c>
    </row>
    <row r="274" spans="1:1">
      <c r="A274">
        <v>2109</v>
      </c>
    </row>
    <row r="275" spans="1:1">
      <c r="A275">
        <v>2114</v>
      </c>
    </row>
    <row r="276" spans="1:1">
      <c r="A276">
        <v>2115</v>
      </c>
    </row>
    <row r="277" spans="1:1">
      <c r="A277">
        <v>2201</v>
      </c>
    </row>
    <row r="278" spans="1:1">
      <c r="A278">
        <v>2204</v>
      </c>
    </row>
    <row r="279" spans="1:1">
      <c r="A279">
        <v>2206</v>
      </c>
    </row>
    <row r="280" spans="1:1">
      <c r="A280">
        <v>2207</v>
      </c>
    </row>
    <row r="281" spans="1:1">
      <c r="A281">
        <v>2208</v>
      </c>
    </row>
    <row r="282" spans="1:1">
      <c r="A282">
        <v>2221</v>
      </c>
    </row>
    <row r="283" spans="1:1">
      <c r="A283">
        <v>2227</v>
      </c>
    </row>
    <row r="284" spans="1:1">
      <c r="A284">
        <v>2228</v>
      </c>
    </row>
    <row r="285" spans="1:1">
      <c r="A285">
        <v>2230</v>
      </c>
    </row>
    <row r="286" spans="1:1">
      <c r="A286">
        <v>2231</v>
      </c>
    </row>
    <row r="287" spans="1:1">
      <c r="A287">
        <v>2233</v>
      </c>
    </row>
    <row r="288" spans="1:1">
      <c r="A288">
        <v>2235</v>
      </c>
    </row>
    <row r="289" spans="1:1">
      <c r="A289">
        <v>2301</v>
      </c>
    </row>
    <row r="290" spans="1:1">
      <c r="A290">
        <v>2302</v>
      </c>
    </row>
    <row r="291" spans="1:1">
      <c r="A291">
        <v>2303</v>
      </c>
    </row>
    <row r="292" spans="1:1">
      <c r="A292">
        <v>2305</v>
      </c>
    </row>
    <row r="293" spans="1:1">
      <c r="A293">
        <v>2308</v>
      </c>
    </row>
    <row r="294" spans="1:1">
      <c r="A294">
        <v>2311</v>
      </c>
    </row>
    <row r="295" spans="1:1">
      <c r="A295">
        <v>2312</v>
      </c>
    </row>
    <row r="296" spans="1:1">
      <c r="A296">
        <v>2313</v>
      </c>
    </row>
    <row r="297" spans="1:1">
      <c r="A297">
        <v>2314</v>
      </c>
    </row>
    <row r="298" spans="1:1">
      <c r="A298">
        <v>2316</v>
      </c>
    </row>
    <row r="299" spans="1:1">
      <c r="A299">
        <v>2317</v>
      </c>
    </row>
    <row r="300" spans="1:1">
      <c r="A300">
        <v>2321</v>
      </c>
    </row>
    <row r="301" spans="1:1">
      <c r="A301">
        <v>2323</v>
      </c>
    </row>
    <row r="302" spans="1:1">
      <c r="A302">
        <v>2324</v>
      </c>
    </row>
    <row r="303" spans="1:1">
      <c r="A303">
        <v>2325</v>
      </c>
    </row>
    <row r="304" spans="1:1">
      <c r="A304">
        <v>2327</v>
      </c>
    </row>
    <row r="305" spans="1:1">
      <c r="A305">
        <v>2328</v>
      </c>
    </row>
    <row r="306" spans="1:1">
      <c r="A306">
        <v>2329</v>
      </c>
    </row>
    <row r="307" spans="1:1">
      <c r="A307">
        <v>2330</v>
      </c>
    </row>
    <row r="308" spans="1:1">
      <c r="A308">
        <v>2331</v>
      </c>
    </row>
    <row r="309" spans="1:1">
      <c r="A309">
        <v>2332</v>
      </c>
    </row>
    <row r="310" spans="1:1">
      <c r="A310">
        <v>2337</v>
      </c>
    </row>
    <row r="311" spans="1:1">
      <c r="A311">
        <v>2338</v>
      </c>
    </row>
    <row r="312" spans="1:1">
      <c r="A312">
        <v>2340</v>
      </c>
    </row>
    <row r="313" spans="1:1">
      <c r="A313">
        <v>2342</v>
      </c>
    </row>
    <row r="314" spans="1:1">
      <c r="A314">
        <v>2344</v>
      </c>
    </row>
    <row r="315" spans="1:1">
      <c r="A315">
        <v>2345</v>
      </c>
    </row>
    <row r="316" spans="1:1">
      <c r="A316">
        <v>2347</v>
      </c>
    </row>
    <row r="317" spans="1:1">
      <c r="A317">
        <v>2348</v>
      </c>
    </row>
    <row r="318" spans="1:1">
      <c r="A318">
        <v>2349</v>
      </c>
    </row>
    <row r="319" spans="1:1">
      <c r="A319">
        <v>2351</v>
      </c>
    </row>
    <row r="320" spans="1:1">
      <c r="A320">
        <v>2352</v>
      </c>
    </row>
    <row r="321" spans="1:1">
      <c r="A321">
        <v>2353</v>
      </c>
    </row>
    <row r="322" spans="1:1">
      <c r="A322">
        <v>2354</v>
      </c>
    </row>
    <row r="323" spans="1:1">
      <c r="A323">
        <v>2355</v>
      </c>
    </row>
    <row r="324" spans="1:1">
      <c r="A324">
        <v>2356</v>
      </c>
    </row>
    <row r="325" spans="1:1">
      <c r="A325">
        <v>2357</v>
      </c>
    </row>
    <row r="326" spans="1:1">
      <c r="A326">
        <v>2358</v>
      </c>
    </row>
    <row r="327" spans="1:1">
      <c r="A327">
        <v>2359</v>
      </c>
    </row>
    <row r="328" spans="1:1">
      <c r="A328">
        <v>2360</v>
      </c>
    </row>
    <row r="329" spans="1:1">
      <c r="A329">
        <v>2361</v>
      </c>
    </row>
    <row r="330" spans="1:1">
      <c r="A330">
        <v>2362</v>
      </c>
    </row>
    <row r="331" spans="1:1">
      <c r="A331">
        <v>2363</v>
      </c>
    </row>
    <row r="332" spans="1:1">
      <c r="A332">
        <v>2364</v>
      </c>
    </row>
    <row r="333" spans="1:1">
      <c r="A333">
        <v>2365</v>
      </c>
    </row>
    <row r="334" spans="1:1">
      <c r="A334">
        <v>2367</v>
      </c>
    </row>
    <row r="335" spans="1:1">
      <c r="A335">
        <v>2368</v>
      </c>
    </row>
    <row r="336" spans="1:1">
      <c r="A336">
        <v>2369</v>
      </c>
    </row>
    <row r="337" spans="1:1">
      <c r="A337">
        <v>2371</v>
      </c>
    </row>
    <row r="338" spans="1:1">
      <c r="A338">
        <v>2373</v>
      </c>
    </row>
    <row r="339" spans="1:1">
      <c r="A339">
        <v>2374</v>
      </c>
    </row>
    <row r="340" spans="1:1">
      <c r="A340">
        <v>2375</v>
      </c>
    </row>
    <row r="341" spans="1:1">
      <c r="A341">
        <v>2376</v>
      </c>
    </row>
    <row r="342" spans="1:1">
      <c r="A342">
        <v>2377</v>
      </c>
    </row>
    <row r="343" spans="1:1">
      <c r="A343">
        <v>2379</v>
      </c>
    </row>
    <row r="344" spans="1:1">
      <c r="A344">
        <v>2380</v>
      </c>
    </row>
    <row r="345" spans="1:1">
      <c r="A345">
        <v>2382</v>
      </c>
    </row>
    <row r="346" spans="1:1">
      <c r="A346">
        <v>2383</v>
      </c>
    </row>
    <row r="347" spans="1:1">
      <c r="A347">
        <v>2385</v>
      </c>
    </row>
    <row r="348" spans="1:1">
      <c r="A348">
        <v>2387</v>
      </c>
    </row>
    <row r="349" spans="1:1">
      <c r="A349">
        <v>2388</v>
      </c>
    </row>
    <row r="350" spans="1:1">
      <c r="A350">
        <v>2390</v>
      </c>
    </row>
    <row r="351" spans="1:1">
      <c r="A351">
        <v>2392</v>
      </c>
    </row>
    <row r="352" spans="1:1">
      <c r="A352">
        <v>2393</v>
      </c>
    </row>
    <row r="353" spans="1:1">
      <c r="A353">
        <v>2395</v>
      </c>
    </row>
    <row r="354" spans="1:1">
      <c r="A354">
        <v>2397</v>
      </c>
    </row>
    <row r="355" spans="1:1">
      <c r="A355">
        <v>2399</v>
      </c>
    </row>
    <row r="356" spans="1:1">
      <c r="A356">
        <v>2401</v>
      </c>
    </row>
    <row r="357" spans="1:1">
      <c r="A357">
        <v>2402</v>
      </c>
    </row>
    <row r="358" spans="1:1">
      <c r="A358">
        <v>2404</v>
      </c>
    </row>
    <row r="359" spans="1:1">
      <c r="A359">
        <v>2405</v>
      </c>
    </row>
    <row r="360" spans="1:1">
      <c r="A360">
        <v>2406</v>
      </c>
    </row>
    <row r="361" spans="1:1">
      <c r="A361">
        <v>2408</v>
      </c>
    </row>
    <row r="362" spans="1:1">
      <c r="A362">
        <v>2409</v>
      </c>
    </row>
    <row r="363" spans="1:1">
      <c r="A363">
        <v>2412</v>
      </c>
    </row>
    <row r="364" spans="1:1">
      <c r="A364">
        <v>2413</v>
      </c>
    </row>
    <row r="365" spans="1:1">
      <c r="A365">
        <v>2414</v>
      </c>
    </row>
    <row r="366" spans="1:1">
      <c r="A366">
        <v>2415</v>
      </c>
    </row>
    <row r="367" spans="1:1">
      <c r="A367">
        <v>2417</v>
      </c>
    </row>
    <row r="368" spans="1:1">
      <c r="A368">
        <v>2419</v>
      </c>
    </row>
    <row r="369" spans="1:1">
      <c r="A369">
        <v>2420</v>
      </c>
    </row>
    <row r="370" spans="1:1">
      <c r="A370">
        <v>2421</v>
      </c>
    </row>
    <row r="371" spans="1:1">
      <c r="A371">
        <v>2423</v>
      </c>
    </row>
    <row r="372" spans="1:1">
      <c r="A372">
        <v>2424</v>
      </c>
    </row>
    <row r="373" spans="1:1">
      <c r="A373">
        <v>2425</v>
      </c>
    </row>
    <row r="374" spans="1:1">
      <c r="A374">
        <v>2426</v>
      </c>
    </row>
    <row r="375" spans="1:1">
      <c r="A375">
        <v>2427</v>
      </c>
    </row>
    <row r="376" spans="1:1">
      <c r="A376">
        <v>2428</v>
      </c>
    </row>
    <row r="377" spans="1:1">
      <c r="A377">
        <v>2429</v>
      </c>
    </row>
    <row r="378" spans="1:1">
      <c r="A378">
        <v>2430</v>
      </c>
    </row>
    <row r="379" spans="1:1">
      <c r="A379">
        <v>2431</v>
      </c>
    </row>
    <row r="380" spans="1:1">
      <c r="A380">
        <v>2433</v>
      </c>
    </row>
    <row r="381" spans="1:1">
      <c r="A381">
        <v>2434</v>
      </c>
    </row>
    <row r="382" spans="1:1">
      <c r="A382">
        <v>2436</v>
      </c>
    </row>
    <row r="383" spans="1:1">
      <c r="A383">
        <v>2437</v>
      </c>
    </row>
    <row r="384" spans="1:1">
      <c r="A384">
        <v>2438</v>
      </c>
    </row>
    <row r="385" spans="1:1">
      <c r="A385">
        <v>2439</v>
      </c>
    </row>
    <row r="386" spans="1:1">
      <c r="A386">
        <v>2440</v>
      </c>
    </row>
    <row r="387" spans="1:1">
      <c r="A387">
        <v>2441</v>
      </c>
    </row>
    <row r="388" spans="1:1">
      <c r="A388">
        <v>2442</v>
      </c>
    </row>
    <row r="389" spans="1:1">
      <c r="A389">
        <v>2443</v>
      </c>
    </row>
    <row r="390" spans="1:1">
      <c r="A390">
        <v>2444</v>
      </c>
    </row>
    <row r="391" spans="1:1">
      <c r="A391">
        <v>2448</v>
      </c>
    </row>
    <row r="392" spans="1:1">
      <c r="A392">
        <v>2449</v>
      </c>
    </row>
    <row r="393" spans="1:1">
      <c r="A393">
        <v>2450</v>
      </c>
    </row>
    <row r="394" spans="1:1">
      <c r="A394">
        <v>2451</v>
      </c>
    </row>
    <row r="395" spans="1:1">
      <c r="A395">
        <v>2453</v>
      </c>
    </row>
    <row r="396" spans="1:1">
      <c r="A396">
        <v>2454</v>
      </c>
    </row>
    <row r="397" spans="1:1">
      <c r="A397">
        <v>2455</v>
      </c>
    </row>
    <row r="398" spans="1:1">
      <c r="A398">
        <v>2456</v>
      </c>
    </row>
    <row r="399" spans="1:1">
      <c r="A399">
        <v>2457</v>
      </c>
    </row>
    <row r="400" spans="1:1">
      <c r="A400">
        <v>2458</v>
      </c>
    </row>
    <row r="401" spans="1:1">
      <c r="A401">
        <v>2459</v>
      </c>
    </row>
    <row r="402" spans="1:1">
      <c r="A402">
        <v>2460</v>
      </c>
    </row>
    <row r="403" spans="1:1">
      <c r="A403">
        <v>2461</v>
      </c>
    </row>
    <row r="404" spans="1:1">
      <c r="A404">
        <v>2462</v>
      </c>
    </row>
    <row r="405" spans="1:1">
      <c r="A405">
        <v>2464</v>
      </c>
    </row>
    <row r="406" spans="1:1">
      <c r="A406">
        <v>2465</v>
      </c>
    </row>
    <row r="407" spans="1:1">
      <c r="A407">
        <v>2466</v>
      </c>
    </row>
    <row r="408" spans="1:1">
      <c r="A408">
        <v>2467</v>
      </c>
    </row>
    <row r="409" spans="1:1">
      <c r="A409">
        <v>2468</v>
      </c>
    </row>
    <row r="410" spans="1:1">
      <c r="A410">
        <v>2471</v>
      </c>
    </row>
    <row r="411" spans="1:1">
      <c r="A411">
        <v>2472</v>
      </c>
    </row>
    <row r="412" spans="1:1">
      <c r="A412">
        <v>2474</v>
      </c>
    </row>
    <row r="413" spans="1:1">
      <c r="A413">
        <v>2475</v>
      </c>
    </row>
    <row r="414" spans="1:1">
      <c r="A414">
        <v>2476</v>
      </c>
    </row>
    <row r="415" spans="1:1">
      <c r="A415">
        <v>2477</v>
      </c>
    </row>
    <row r="416" spans="1:1">
      <c r="A416">
        <v>2478</v>
      </c>
    </row>
    <row r="417" spans="1:1">
      <c r="A417">
        <v>2480</v>
      </c>
    </row>
    <row r="418" spans="1:1">
      <c r="A418">
        <v>2481</v>
      </c>
    </row>
    <row r="419" spans="1:1">
      <c r="A419">
        <v>2482</v>
      </c>
    </row>
    <row r="420" spans="1:1">
      <c r="A420">
        <v>2483</v>
      </c>
    </row>
    <row r="421" spans="1:1">
      <c r="A421">
        <v>2484</v>
      </c>
    </row>
    <row r="422" spans="1:1">
      <c r="A422">
        <v>2485</v>
      </c>
    </row>
    <row r="423" spans="1:1">
      <c r="A423">
        <v>2486</v>
      </c>
    </row>
    <row r="424" spans="1:1">
      <c r="A424">
        <v>2488</v>
      </c>
    </row>
    <row r="425" spans="1:1">
      <c r="A425">
        <v>2489</v>
      </c>
    </row>
    <row r="426" spans="1:1">
      <c r="A426">
        <v>2491</v>
      </c>
    </row>
    <row r="427" spans="1:1">
      <c r="A427">
        <v>2492</v>
      </c>
    </row>
    <row r="428" spans="1:1">
      <c r="A428">
        <v>2493</v>
      </c>
    </row>
    <row r="429" spans="1:1">
      <c r="A429">
        <v>2495</v>
      </c>
    </row>
    <row r="430" spans="1:1">
      <c r="A430">
        <v>2496</v>
      </c>
    </row>
    <row r="431" spans="1:1">
      <c r="A431">
        <v>2497</v>
      </c>
    </row>
    <row r="432" spans="1:1">
      <c r="A432">
        <v>2498</v>
      </c>
    </row>
    <row r="433" spans="1:1">
      <c r="A433">
        <v>2499</v>
      </c>
    </row>
    <row r="434" spans="1:1">
      <c r="A434">
        <v>2501</v>
      </c>
    </row>
    <row r="435" spans="1:1">
      <c r="A435">
        <v>2504</v>
      </c>
    </row>
    <row r="436" spans="1:1">
      <c r="A436">
        <v>2505</v>
      </c>
    </row>
    <row r="437" spans="1:1">
      <c r="A437">
        <v>2506</v>
      </c>
    </row>
    <row r="438" spans="1:1">
      <c r="A438">
        <v>2509</v>
      </c>
    </row>
    <row r="439" spans="1:1">
      <c r="A439">
        <v>2511</v>
      </c>
    </row>
    <row r="440" spans="1:1">
      <c r="A440">
        <v>2514</v>
      </c>
    </row>
    <row r="441" spans="1:1">
      <c r="A441">
        <v>2515</v>
      </c>
    </row>
    <row r="442" spans="1:1">
      <c r="A442">
        <v>2516</v>
      </c>
    </row>
    <row r="443" spans="1:1">
      <c r="A443">
        <v>2520</v>
      </c>
    </row>
    <row r="444" spans="1:1">
      <c r="A444">
        <v>2524</v>
      </c>
    </row>
    <row r="445" spans="1:1">
      <c r="A445">
        <v>2527</v>
      </c>
    </row>
    <row r="446" spans="1:1">
      <c r="A446">
        <v>2528</v>
      </c>
    </row>
    <row r="447" spans="1:1">
      <c r="A447">
        <v>2530</v>
      </c>
    </row>
    <row r="448" spans="1:1">
      <c r="A448">
        <v>2534</v>
      </c>
    </row>
    <row r="449" spans="1:1">
      <c r="A449">
        <v>2535</v>
      </c>
    </row>
    <row r="450" spans="1:1">
      <c r="A450">
        <v>2536</v>
      </c>
    </row>
    <row r="451" spans="1:1">
      <c r="A451">
        <v>2537</v>
      </c>
    </row>
    <row r="452" spans="1:1">
      <c r="A452">
        <v>2538</v>
      </c>
    </row>
    <row r="453" spans="1:1">
      <c r="A453">
        <v>2539</v>
      </c>
    </row>
    <row r="454" spans="1:1">
      <c r="A454">
        <v>2540</v>
      </c>
    </row>
    <row r="455" spans="1:1">
      <c r="A455">
        <v>2542</v>
      </c>
    </row>
    <row r="456" spans="1:1">
      <c r="A456">
        <v>2543</v>
      </c>
    </row>
    <row r="457" spans="1:1">
      <c r="A457">
        <v>2545</v>
      </c>
    </row>
    <row r="458" spans="1:1">
      <c r="A458">
        <v>2546</v>
      </c>
    </row>
    <row r="459" spans="1:1">
      <c r="A459">
        <v>2547</v>
      </c>
    </row>
    <row r="460" spans="1:1">
      <c r="A460">
        <v>2548</v>
      </c>
    </row>
    <row r="461" spans="1:1">
      <c r="A461">
        <v>2596</v>
      </c>
    </row>
    <row r="462" spans="1:1">
      <c r="A462">
        <v>2597</v>
      </c>
    </row>
    <row r="463" spans="1:1">
      <c r="A463">
        <v>2601</v>
      </c>
    </row>
    <row r="464" spans="1:1">
      <c r="A464">
        <v>2603</v>
      </c>
    </row>
    <row r="465" spans="1:1">
      <c r="A465">
        <v>2605</v>
      </c>
    </row>
    <row r="466" spans="1:1">
      <c r="A466">
        <v>2606</v>
      </c>
    </row>
    <row r="467" spans="1:1">
      <c r="A467">
        <v>2607</v>
      </c>
    </row>
    <row r="468" spans="1:1">
      <c r="A468">
        <v>2608</v>
      </c>
    </row>
    <row r="469" spans="1:1">
      <c r="A469">
        <v>2609</v>
      </c>
    </row>
    <row r="470" spans="1:1">
      <c r="A470">
        <v>2610</v>
      </c>
    </row>
    <row r="471" spans="1:1">
      <c r="A471">
        <v>2611</v>
      </c>
    </row>
    <row r="472" spans="1:1">
      <c r="A472">
        <v>2612</v>
      </c>
    </row>
    <row r="473" spans="1:1">
      <c r="A473">
        <v>2613</v>
      </c>
    </row>
    <row r="474" spans="1:1">
      <c r="A474">
        <v>2614</v>
      </c>
    </row>
    <row r="475" spans="1:1">
      <c r="A475">
        <v>2615</v>
      </c>
    </row>
    <row r="476" spans="1:1">
      <c r="A476">
        <v>2616</v>
      </c>
    </row>
    <row r="477" spans="1:1">
      <c r="A477">
        <v>2617</v>
      </c>
    </row>
    <row r="478" spans="1:1">
      <c r="A478">
        <v>2618</v>
      </c>
    </row>
    <row r="479" spans="1:1">
      <c r="A479">
        <v>2634</v>
      </c>
    </row>
    <row r="480" spans="1:1">
      <c r="A480">
        <v>2636</v>
      </c>
    </row>
    <row r="481" spans="1:1">
      <c r="A481">
        <v>2637</v>
      </c>
    </row>
    <row r="482" spans="1:1">
      <c r="A482">
        <v>2640</v>
      </c>
    </row>
    <row r="483" spans="1:1">
      <c r="A483">
        <v>2641</v>
      </c>
    </row>
    <row r="484" spans="1:1">
      <c r="A484">
        <v>2642</v>
      </c>
    </row>
    <row r="485" spans="1:1">
      <c r="A485">
        <v>2701</v>
      </c>
    </row>
    <row r="486" spans="1:1">
      <c r="A486">
        <v>2702</v>
      </c>
    </row>
    <row r="487" spans="1:1">
      <c r="A487">
        <v>2704</v>
      </c>
    </row>
    <row r="488" spans="1:1">
      <c r="A488">
        <v>2705</v>
      </c>
    </row>
    <row r="489" spans="1:1">
      <c r="A489">
        <v>2706</v>
      </c>
    </row>
    <row r="490" spans="1:1">
      <c r="A490">
        <v>2707</v>
      </c>
    </row>
    <row r="491" spans="1:1">
      <c r="A491">
        <v>2712</v>
      </c>
    </row>
    <row r="492" spans="1:1">
      <c r="A492">
        <v>2718</v>
      </c>
    </row>
    <row r="493" spans="1:1">
      <c r="A493">
        <v>2719</v>
      </c>
    </row>
    <row r="494" spans="1:1">
      <c r="A494">
        <v>2722</v>
      </c>
    </row>
    <row r="495" spans="1:1">
      <c r="A495">
        <v>2723</v>
      </c>
    </row>
    <row r="496" spans="1:1">
      <c r="A496">
        <v>2724</v>
      </c>
    </row>
    <row r="497" spans="1:1">
      <c r="A497">
        <v>2726</v>
      </c>
    </row>
    <row r="498" spans="1:1">
      <c r="A498">
        <v>2727</v>
      </c>
    </row>
    <row r="499" spans="1:1">
      <c r="A499">
        <v>2729</v>
      </c>
    </row>
    <row r="500" spans="1:1">
      <c r="A500">
        <v>2731</v>
      </c>
    </row>
    <row r="501" spans="1:1">
      <c r="A501">
        <v>2732</v>
      </c>
    </row>
    <row r="502" spans="1:1">
      <c r="A502">
        <v>2734</v>
      </c>
    </row>
    <row r="503" spans="1:1">
      <c r="A503">
        <v>2801</v>
      </c>
    </row>
    <row r="504" spans="1:1">
      <c r="A504">
        <v>2809</v>
      </c>
    </row>
    <row r="505" spans="1:1">
      <c r="A505">
        <v>2812</v>
      </c>
    </row>
    <row r="506" spans="1:1">
      <c r="A506">
        <v>2816</v>
      </c>
    </row>
    <row r="507" spans="1:1">
      <c r="A507">
        <v>2820</v>
      </c>
    </row>
    <row r="508" spans="1:1">
      <c r="A508">
        <v>2823</v>
      </c>
    </row>
    <row r="509" spans="1:1">
      <c r="A509">
        <v>2832</v>
      </c>
    </row>
    <row r="510" spans="1:1">
      <c r="A510">
        <v>2833</v>
      </c>
    </row>
    <row r="511" spans="1:1">
      <c r="A511">
        <v>2834</v>
      </c>
    </row>
    <row r="512" spans="1:1">
      <c r="A512">
        <v>2836</v>
      </c>
    </row>
    <row r="513" spans="1:1">
      <c r="A513">
        <v>2838</v>
      </c>
    </row>
    <row r="514" spans="1:1">
      <c r="A514">
        <v>2841</v>
      </c>
    </row>
    <row r="515" spans="1:1">
      <c r="A515">
        <v>2845</v>
      </c>
    </row>
    <row r="516" spans="1:1">
      <c r="A516">
        <v>2847</v>
      </c>
    </row>
    <row r="517" spans="1:1">
      <c r="A517">
        <v>2849</v>
      </c>
    </row>
    <row r="518" spans="1:1">
      <c r="A518">
        <v>2850</v>
      </c>
    </row>
    <row r="519" spans="1:1">
      <c r="A519">
        <v>2851</v>
      </c>
    </row>
    <row r="520" spans="1:1">
      <c r="A520">
        <v>2852</v>
      </c>
    </row>
    <row r="521" spans="1:1">
      <c r="A521">
        <v>2855</v>
      </c>
    </row>
    <row r="522" spans="1:1">
      <c r="A522">
        <v>2856</v>
      </c>
    </row>
    <row r="523" spans="1:1">
      <c r="A523">
        <v>2867</v>
      </c>
    </row>
    <row r="524" spans="1:1">
      <c r="A524">
        <v>2880</v>
      </c>
    </row>
    <row r="525" spans="1:1">
      <c r="A525">
        <v>2881</v>
      </c>
    </row>
    <row r="526" spans="1:1">
      <c r="A526">
        <v>2882</v>
      </c>
    </row>
    <row r="527" spans="1:1">
      <c r="A527">
        <v>2883</v>
      </c>
    </row>
    <row r="528" spans="1:1">
      <c r="A528">
        <v>2884</v>
      </c>
    </row>
    <row r="529" spans="1:1">
      <c r="A529">
        <v>2885</v>
      </c>
    </row>
    <row r="530" spans="1:1">
      <c r="A530">
        <v>2886</v>
      </c>
    </row>
    <row r="531" spans="1:1">
      <c r="A531">
        <v>2887</v>
      </c>
    </row>
    <row r="532" spans="1:1">
      <c r="A532">
        <v>2888</v>
      </c>
    </row>
    <row r="533" spans="1:1">
      <c r="A533">
        <v>2889</v>
      </c>
    </row>
    <row r="534" spans="1:1">
      <c r="A534">
        <v>2890</v>
      </c>
    </row>
    <row r="535" spans="1:1">
      <c r="A535">
        <v>2891</v>
      </c>
    </row>
    <row r="536" spans="1:1">
      <c r="A536">
        <v>2892</v>
      </c>
    </row>
    <row r="537" spans="1:1">
      <c r="A537">
        <v>2901</v>
      </c>
    </row>
    <row r="538" spans="1:1">
      <c r="A538">
        <v>2903</v>
      </c>
    </row>
    <row r="539" spans="1:1">
      <c r="A539">
        <v>2904</v>
      </c>
    </row>
    <row r="540" spans="1:1">
      <c r="A540">
        <v>2905</v>
      </c>
    </row>
    <row r="541" spans="1:1">
      <c r="A541">
        <v>2906</v>
      </c>
    </row>
    <row r="542" spans="1:1">
      <c r="A542">
        <v>2908</v>
      </c>
    </row>
    <row r="543" spans="1:1">
      <c r="A543">
        <v>2910</v>
      </c>
    </row>
    <row r="544" spans="1:1">
      <c r="A544">
        <v>2911</v>
      </c>
    </row>
    <row r="545" spans="1:1">
      <c r="A545">
        <v>2912</v>
      </c>
    </row>
    <row r="546" spans="1:1">
      <c r="A546">
        <v>2913</v>
      </c>
    </row>
    <row r="547" spans="1:1">
      <c r="A547">
        <v>2915</v>
      </c>
    </row>
    <row r="548" spans="1:1">
      <c r="A548">
        <v>2916</v>
      </c>
    </row>
    <row r="549" spans="1:1">
      <c r="A549">
        <v>2923</v>
      </c>
    </row>
    <row r="550" spans="1:1">
      <c r="A550">
        <v>2924</v>
      </c>
    </row>
    <row r="551" spans="1:1">
      <c r="A551">
        <v>2926</v>
      </c>
    </row>
    <row r="552" spans="1:1">
      <c r="A552">
        <v>2929</v>
      </c>
    </row>
    <row r="553" spans="1:1">
      <c r="A553">
        <v>3002</v>
      </c>
    </row>
    <row r="554" spans="1:1">
      <c r="A554">
        <v>3003</v>
      </c>
    </row>
    <row r="555" spans="1:1">
      <c r="A555">
        <v>3004</v>
      </c>
    </row>
    <row r="556" spans="1:1">
      <c r="A556">
        <v>3005</v>
      </c>
    </row>
    <row r="557" spans="1:1">
      <c r="A557">
        <v>3006</v>
      </c>
    </row>
    <row r="558" spans="1:1">
      <c r="A558">
        <v>3008</v>
      </c>
    </row>
    <row r="559" spans="1:1">
      <c r="A559">
        <v>3010</v>
      </c>
    </row>
    <row r="560" spans="1:1">
      <c r="A560">
        <v>3011</v>
      </c>
    </row>
    <row r="561" spans="1:1">
      <c r="A561">
        <v>3013</v>
      </c>
    </row>
    <row r="562" spans="1:1">
      <c r="A562">
        <v>3014</v>
      </c>
    </row>
    <row r="563" spans="1:1">
      <c r="A563">
        <v>3015</v>
      </c>
    </row>
    <row r="564" spans="1:1">
      <c r="A564">
        <v>3016</v>
      </c>
    </row>
    <row r="565" spans="1:1">
      <c r="A565">
        <v>3017</v>
      </c>
    </row>
    <row r="566" spans="1:1">
      <c r="A566">
        <v>3018</v>
      </c>
    </row>
    <row r="567" spans="1:1">
      <c r="A567">
        <v>3019</v>
      </c>
    </row>
    <row r="568" spans="1:1">
      <c r="A568">
        <v>3021</v>
      </c>
    </row>
    <row r="569" spans="1:1">
      <c r="A569">
        <v>3022</v>
      </c>
    </row>
    <row r="570" spans="1:1">
      <c r="A570">
        <v>3023</v>
      </c>
    </row>
    <row r="571" spans="1:1">
      <c r="A571">
        <v>3024</v>
      </c>
    </row>
    <row r="572" spans="1:1">
      <c r="A572">
        <v>3025</v>
      </c>
    </row>
    <row r="573" spans="1:1">
      <c r="A573">
        <v>3026</v>
      </c>
    </row>
    <row r="574" spans="1:1">
      <c r="A574">
        <v>3027</v>
      </c>
    </row>
    <row r="575" spans="1:1">
      <c r="A575">
        <v>3028</v>
      </c>
    </row>
    <row r="576" spans="1:1">
      <c r="A576">
        <v>3029</v>
      </c>
    </row>
    <row r="577" spans="1:1">
      <c r="A577">
        <v>3030</v>
      </c>
    </row>
    <row r="578" spans="1:1">
      <c r="A578">
        <v>3031</v>
      </c>
    </row>
    <row r="579" spans="1:1">
      <c r="A579">
        <v>3032</v>
      </c>
    </row>
    <row r="580" spans="1:1">
      <c r="A580">
        <v>3033</v>
      </c>
    </row>
    <row r="581" spans="1:1">
      <c r="A581">
        <v>3034</v>
      </c>
    </row>
    <row r="582" spans="1:1">
      <c r="A582">
        <v>3035</v>
      </c>
    </row>
    <row r="583" spans="1:1">
      <c r="A583">
        <v>3036</v>
      </c>
    </row>
    <row r="584" spans="1:1">
      <c r="A584">
        <v>3037</v>
      </c>
    </row>
    <row r="585" spans="1:1">
      <c r="A585">
        <v>3038</v>
      </c>
    </row>
    <row r="586" spans="1:1">
      <c r="A586">
        <v>3040</v>
      </c>
    </row>
    <row r="587" spans="1:1">
      <c r="A587">
        <v>3041</v>
      </c>
    </row>
    <row r="588" spans="1:1">
      <c r="A588">
        <v>3042</v>
      </c>
    </row>
    <row r="589" spans="1:1">
      <c r="A589">
        <v>3043</v>
      </c>
    </row>
    <row r="590" spans="1:1">
      <c r="A590">
        <v>3044</v>
      </c>
    </row>
    <row r="591" spans="1:1">
      <c r="A591">
        <v>3045</v>
      </c>
    </row>
    <row r="592" spans="1:1">
      <c r="A592">
        <v>3046</v>
      </c>
    </row>
    <row r="593" spans="1:1">
      <c r="A593">
        <v>3047</v>
      </c>
    </row>
    <row r="594" spans="1:1">
      <c r="A594">
        <v>3048</v>
      </c>
    </row>
    <row r="595" spans="1:1">
      <c r="A595">
        <v>3049</v>
      </c>
    </row>
    <row r="596" spans="1:1">
      <c r="A596">
        <v>3050</v>
      </c>
    </row>
    <row r="597" spans="1:1">
      <c r="A597">
        <v>3051</v>
      </c>
    </row>
    <row r="598" spans="1:1">
      <c r="A598">
        <v>3052</v>
      </c>
    </row>
    <row r="599" spans="1:1">
      <c r="A599">
        <v>3054</v>
      </c>
    </row>
    <row r="600" spans="1:1">
      <c r="A600">
        <v>3055</v>
      </c>
    </row>
    <row r="601" spans="1:1">
      <c r="A601">
        <v>3056</v>
      </c>
    </row>
    <row r="602" spans="1:1">
      <c r="A602">
        <v>3057</v>
      </c>
    </row>
    <row r="603" spans="1:1">
      <c r="A603">
        <v>3058</v>
      </c>
    </row>
    <row r="604" spans="1:1">
      <c r="A604">
        <v>3059</v>
      </c>
    </row>
    <row r="605" spans="1:1">
      <c r="A605">
        <v>3060</v>
      </c>
    </row>
    <row r="606" spans="1:1">
      <c r="A606">
        <v>3062</v>
      </c>
    </row>
    <row r="607" spans="1:1">
      <c r="A607">
        <v>3064</v>
      </c>
    </row>
    <row r="608" spans="1:1">
      <c r="A608">
        <v>3066</v>
      </c>
    </row>
    <row r="609" spans="1:1">
      <c r="A609">
        <v>3067</v>
      </c>
    </row>
    <row r="610" spans="1:1">
      <c r="A610">
        <v>3068</v>
      </c>
    </row>
    <row r="611" spans="1:1">
      <c r="A611">
        <v>3071</v>
      </c>
    </row>
    <row r="612" spans="1:1">
      <c r="A612">
        <v>3073</v>
      </c>
    </row>
    <row r="613" spans="1:1">
      <c r="A613">
        <v>3078</v>
      </c>
    </row>
    <row r="614" spans="1:1">
      <c r="A614">
        <v>3083</v>
      </c>
    </row>
    <row r="615" spans="1:1">
      <c r="A615">
        <v>3085</v>
      </c>
    </row>
    <row r="616" spans="1:1">
      <c r="A616">
        <v>3086</v>
      </c>
    </row>
    <row r="617" spans="1:1">
      <c r="A617">
        <v>3088</v>
      </c>
    </row>
    <row r="618" spans="1:1">
      <c r="A618">
        <v>3089</v>
      </c>
    </row>
    <row r="619" spans="1:1">
      <c r="A619">
        <v>3090</v>
      </c>
    </row>
    <row r="620" spans="1:1">
      <c r="A620">
        <v>3092</v>
      </c>
    </row>
    <row r="621" spans="1:1">
      <c r="A621">
        <v>3093</v>
      </c>
    </row>
    <row r="622" spans="1:1">
      <c r="A622">
        <v>3094</v>
      </c>
    </row>
    <row r="623" spans="1:1">
      <c r="A623">
        <v>3095</v>
      </c>
    </row>
    <row r="624" spans="1:1">
      <c r="A624">
        <v>3105</v>
      </c>
    </row>
    <row r="625" spans="1:1">
      <c r="A625">
        <v>3114</v>
      </c>
    </row>
    <row r="626" spans="1:1">
      <c r="A626">
        <v>3115</v>
      </c>
    </row>
    <row r="627" spans="1:1">
      <c r="A627">
        <v>3118</v>
      </c>
    </row>
    <row r="628" spans="1:1">
      <c r="A628">
        <v>3122</v>
      </c>
    </row>
    <row r="629" spans="1:1">
      <c r="A629">
        <v>3128</v>
      </c>
    </row>
    <row r="630" spans="1:1">
      <c r="A630">
        <v>3130</v>
      </c>
    </row>
    <row r="631" spans="1:1">
      <c r="A631">
        <v>3131</v>
      </c>
    </row>
    <row r="632" spans="1:1">
      <c r="A632">
        <v>3141</v>
      </c>
    </row>
    <row r="633" spans="1:1">
      <c r="A633">
        <v>3144</v>
      </c>
    </row>
    <row r="634" spans="1:1">
      <c r="A634">
        <v>3149</v>
      </c>
    </row>
    <row r="635" spans="1:1">
      <c r="A635">
        <v>3152</v>
      </c>
    </row>
    <row r="636" spans="1:1">
      <c r="A636">
        <v>3162</v>
      </c>
    </row>
    <row r="637" spans="1:1">
      <c r="A637">
        <v>3163</v>
      </c>
    </row>
    <row r="638" spans="1:1">
      <c r="A638">
        <v>3164</v>
      </c>
    </row>
    <row r="639" spans="1:1">
      <c r="A639">
        <v>3167</v>
      </c>
    </row>
    <row r="640" spans="1:1">
      <c r="A640">
        <v>3169</v>
      </c>
    </row>
    <row r="641" spans="1:1">
      <c r="A641">
        <v>3171</v>
      </c>
    </row>
    <row r="642" spans="1:1">
      <c r="A642">
        <v>3176</v>
      </c>
    </row>
    <row r="643" spans="1:1">
      <c r="A643">
        <v>3188</v>
      </c>
    </row>
    <row r="644" spans="1:1">
      <c r="A644">
        <v>3189</v>
      </c>
    </row>
    <row r="645" spans="1:1">
      <c r="A645">
        <v>3191</v>
      </c>
    </row>
    <row r="646" spans="1:1">
      <c r="A646">
        <v>3202</v>
      </c>
    </row>
    <row r="647" spans="1:1">
      <c r="A647">
        <v>3205</v>
      </c>
    </row>
    <row r="648" spans="1:1">
      <c r="A648">
        <v>3206</v>
      </c>
    </row>
    <row r="649" spans="1:1">
      <c r="A649">
        <v>3207</v>
      </c>
    </row>
    <row r="650" spans="1:1">
      <c r="A650">
        <v>3209</v>
      </c>
    </row>
    <row r="651" spans="1:1">
      <c r="A651">
        <v>3211</v>
      </c>
    </row>
    <row r="652" spans="1:1">
      <c r="A652">
        <v>3213</v>
      </c>
    </row>
    <row r="653" spans="1:1">
      <c r="A653">
        <v>3217</v>
      </c>
    </row>
    <row r="654" spans="1:1">
      <c r="A654">
        <v>3218</v>
      </c>
    </row>
    <row r="655" spans="1:1">
      <c r="A655">
        <v>3219</v>
      </c>
    </row>
    <row r="656" spans="1:1">
      <c r="A656">
        <v>3221</v>
      </c>
    </row>
    <row r="657" spans="1:1">
      <c r="A657">
        <v>3224</v>
      </c>
    </row>
    <row r="658" spans="1:1">
      <c r="A658">
        <v>3226</v>
      </c>
    </row>
    <row r="659" spans="1:1">
      <c r="A659">
        <v>3227</v>
      </c>
    </row>
    <row r="660" spans="1:1">
      <c r="A660">
        <v>3228</v>
      </c>
    </row>
    <row r="661" spans="1:1">
      <c r="A661">
        <v>3229</v>
      </c>
    </row>
    <row r="662" spans="1:1">
      <c r="A662">
        <v>3230</v>
      </c>
    </row>
    <row r="663" spans="1:1">
      <c r="A663">
        <v>3231</v>
      </c>
    </row>
    <row r="664" spans="1:1">
      <c r="A664">
        <v>3232</v>
      </c>
    </row>
    <row r="665" spans="1:1">
      <c r="A665">
        <v>3234</v>
      </c>
    </row>
    <row r="666" spans="1:1">
      <c r="A666">
        <v>3236</v>
      </c>
    </row>
    <row r="667" spans="1:1">
      <c r="A667">
        <v>3252</v>
      </c>
    </row>
    <row r="668" spans="1:1">
      <c r="A668">
        <v>3257</v>
      </c>
    </row>
    <row r="669" spans="1:1">
      <c r="A669">
        <v>3259</v>
      </c>
    </row>
    <row r="670" spans="1:1">
      <c r="A670">
        <v>3260</v>
      </c>
    </row>
    <row r="671" spans="1:1">
      <c r="A671">
        <v>3264</v>
      </c>
    </row>
    <row r="672" spans="1:1">
      <c r="A672">
        <v>3265</v>
      </c>
    </row>
    <row r="673" spans="1:1">
      <c r="A673">
        <v>3266</v>
      </c>
    </row>
    <row r="674" spans="1:1">
      <c r="A674">
        <v>3268</v>
      </c>
    </row>
    <row r="675" spans="1:1">
      <c r="A675">
        <v>3272</v>
      </c>
    </row>
    <row r="676" spans="1:1">
      <c r="A676">
        <v>3276</v>
      </c>
    </row>
    <row r="677" spans="1:1">
      <c r="A677">
        <v>3284</v>
      </c>
    </row>
    <row r="678" spans="1:1">
      <c r="A678">
        <v>3285</v>
      </c>
    </row>
    <row r="679" spans="1:1">
      <c r="A679">
        <v>3287</v>
      </c>
    </row>
    <row r="680" spans="1:1">
      <c r="A680">
        <v>3288</v>
      </c>
    </row>
    <row r="681" spans="1:1">
      <c r="A681">
        <v>3289</v>
      </c>
    </row>
    <row r="682" spans="1:1">
      <c r="A682">
        <v>3290</v>
      </c>
    </row>
    <row r="683" spans="1:1">
      <c r="A683">
        <v>3291</v>
      </c>
    </row>
    <row r="684" spans="1:1">
      <c r="A684">
        <v>3293</v>
      </c>
    </row>
    <row r="685" spans="1:1">
      <c r="A685">
        <v>3294</v>
      </c>
    </row>
    <row r="686" spans="1:1">
      <c r="A686">
        <v>3296</v>
      </c>
    </row>
    <row r="687" spans="1:1">
      <c r="A687">
        <v>3297</v>
      </c>
    </row>
    <row r="688" spans="1:1">
      <c r="A688">
        <v>3299</v>
      </c>
    </row>
    <row r="689" spans="1:1">
      <c r="A689">
        <v>3303</v>
      </c>
    </row>
    <row r="690" spans="1:1">
      <c r="A690">
        <v>3305</v>
      </c>
    </row>
    <row r="691" spans="1:1">
      <c r="A691">
        <v>3306</v>
      </c>
    </row>
    <row r="692" spans="1:1">
      <c r="A692">
        <v>3308</v>
      </c>
    </row>
    <row r="693" spans="1:1">
      <c r="A693">
        <v>3310</v>
      </c>
    </row>
    <row r="694" spans="1:1">
      <c r="A694">
        <v>3311</v>
      </c>
    </row>
    <row r="695" spans="1:1">
      <c r="A695">
        <v>3312</v>
      </c>
    </row>
    <row r="696" spans="1:1">
      <c r="A696">
        <v>3313</v>
      </c>
    </row>
    <row r="697" spans="1:1">
      <c r="A697">
        <v>3315</v>
      </c>
    </row>
    <row r="698" spans="1:1">
      <c r="A698">
        <v>3317</v>
      </c>
    </row>
    <row r="699" spans="1:1">
      <c r="A699">
        <v>3322</v>
      </c>
    </row>
    <row r="700" spans="1:1">
      <c r="A700">
        <v>3323</v>
      </c>
    </row>
    <row r="701" spans="1:1">
      <c r="A701">
        <v>3324</v>
      </c>
    </row>
    <row r="702" spans="1:1">
      <c r="A702">
        <v>3325</v>
      </c>
    </row>
    <row r="703" spans="1:1">
      <c r="A703">
        <v>3332</v>
      </c>
    </row>
    <row r="704" spans="1:1">
      <c r="A704">
        <v>3338</v>
      </c>
    </row>
    <row r="705" spans="1:1">
      <c r="A705">
        <v>3339</v>
      </c>
    </row>
    <row r="706" spans="1:1">
      <c r="A706">
        <v>3354</v>
      </c>
    </row>
    <row r="707" spans="1:1">
      <c r="A707">
        <v>3356</v>
      </c>
    </row>
    <row r="708" spans="1:1">
      <c r="A708">
        <v>3360</v>
      </c>
    </row>
    <row r="709" spans="1:1">
      <c r="A709">
        <v>3362</v>
      </c>
    </row>
    <row r="710" spans="1:1">
      <c r="A710">
        <v>3363</v>
      </c>
    </row>
    <row r="711" spans="1:1">
      <c r="A711">
        <v>3372</v>
      </c>
    </row>
    <row r="712" spans="1:1">
      <c r="A712">
        <v>3373</v>
      </c>
    </row>
    <row r="713" spans="1:1">
      <c r="A713">
        <v>3374</v>
      </c>
    </row>
    <row r="714" spans="1:1">
      <c r="A714">
        <v>3376</v>
      </c>
    </row>
    <row r="715" spans="1:1">
      <c r="A715">
        <v>3379</v>
      </c>
    </row>
    <row r="716" spans="1:1">
      <c r="A716">
        <v>3380</v>
      </c>
    </row>
    <row r="717" spans="1:1">
      <c r="A717">
        <v>3383</v>
      </c>
    </row>
    <row r="718" spans="1:1">
      <c r="A718">
        <v>3388</v>
      </c>
    </row>
    <row r="719" spans="1:1">
      <c r="A719">
        <v>3390</v>
      </c>
    </row>
    <row r="720" spans="1:1">
      <c r="A720">
        <v>3402</v>
      </c>
    </row>
    <row r="721" spans="1:1">
      <c r="A721">
        <v>3406</v>
      </c>
    </row>
    <row r="722" spans="1:1">
      <c r="A722">
        <v>3416</v>
      </c>
    </row>
    <row r="723" spans="1:1">
      <c r="A723">
        <v>3419</v>
      </c>
    </row>
    <row r="724" spans="1:1">
      <c r="A724">
        <v>3428</v>
      </c>
    </row>
    <row r="725" spans="1:1">
      <c r="A725">
        <v>3431</v>
      </c>
    </row>
    <row r="726" spans="1:1">
      <c r="A726">
        <v>3432</v>
      </c>
    </row>
    <row r="727" spans="1:1">
      <c r="A727">
        <v>3434</v>
      </c>
    </row>
    <row r="728" spans="1:1">
      <c r="A728">
        <v>3437</v>
      </c>
    </row>
    <row r="729" spans="1:1">
      <c r="A729">
        <v>3438</v>
      </c>
    </row>
    <row r="730" spans="1:1">
      <c r="A730">
        <v>3441</v>
      </c>
    </row>
    <row r="731" spans="1:1">
      <c r="A731">
        <v>3443</v>
      </c>
    </row>
    <row r="732" spans="1:1">
      <c r="A732">
        <v>3444</v>
      </c>
    </row>
    <row r="733" spans="1:1">
      <c r="A733">
        <v>3450</v>
      </c>
    </row>
    <row r="734" spans="1:1">
      <c r="A734">
        <v>3452</v>
      </c>
    </row>
    <row r="735" spans="1:1">
      <c r="A735">
        <v>3454</v>
      </c>
    </row>
    <row r="736" spans="1:1">
      <c r="A736">
        <v>3455</v>
      </c>
    </row>
    <row r="737" spans="1:1">
      <c r="A737">
        <v>3465</v>
      </c>
    </row>
    <row r="738" spans="1:1">
      <c r="A738">
        <v>3466</v>
      </c>
    </row>
    <row r="739" spans="1:1">
      <c r="A739">
        <v>3474</v>
      </c>
    </row>
    <row r="740" spans="1:1">
      <c r="A740">
        <v>3479</v>
      </c>
    </row>
    <row r="741" spans="1:1">
      <c r="A741">
        <v>3481</v>
      </c>
    </row>
    <row r="742" spans="1:1">
      <c r="A742">
        <v>3483</v>
      </c>
    </row>
    <row r="743" spans="1:1">
      <c r="A743">
        <v>3484</v>
      </c>
    </row>
    <row r="744" spans="1:1">
      <c r="A744">
        <v>3489</v>
      </c>
    </row>
    <row r="745" spans="1:1">
      <c r="A745">
        <v>3490</v>
      </c>
    </row>
    <row r="746" spans="1:1">
      <c r="A746">
        <v>3491</v>
      </c>
    </row>
    <row r="747" spans="1:1">
      <c r="A747">
        <v>3494</v>
      </c>
    </row>
    <row r="748" spans="1:1">
      <c r="A748">
        <v>3498</v>
      </c>
    </row>
    <row r="749" spans="1:1">
      <c r="A749">
        <v>3499</v>
      </c>
    </row>
    <row r="750" spans="1:1">
      <c r="A750">
        <v>3501</v>
      </c>
    </row>
    <row r="751" spans="1:1">
      <c r="A751">
        <v>3504</v>
      </c>
    </row>
    <row r="752" spans="1:1">
      <c r="A752">
        <v>3508</v>
      </c>
    </row>
    <row r="753" spans="1:1">
      <c r="A753">
        <v>3511</v>
      </c>
    </row>
    <row r="754" spans="1:1">
      <c r="A754">
        <v>3512</v>
      </c>
    </row>
    <row r="755" spans="1:1">
      <c r="A755">
        <v>3514</v>
      </c>
    </row>
    <row r="756" spans="1:1">
      <c r="A756">
        <v>3515</v>
      </c>
    </row>
    <row r="757" spans="1:1">
      <c r="A757">
        <v>3516</v>
      </c>
    </row>
    <row r="758" spans="1:1">
      <c r="A758">
        <v>3518</v>
      </c>
    </row>
    <row r="759" spans="1:1">
      <c r="A759">
        <v>3519</v>
      </c>
    </row>
    <row r="760" spans="1:1">
      <c r="A760">
        <v>3520</v>
      </c>
    </row>
    <row r="761" spans="1:1">
      <c r="A761">
        <v>3521</v>
      </c>
    </row>
    <row r="762" spans="1:1">
      <c r="A762">
        <v>3522</v>
      </c>
    </row>
    <row r="763" spans="1:1">
      <c r="A763">
        <v>3523</v>
      </c>
    </row>
    <row r="764" spans="1:1">
      <c r="A764">
        <v>3526</v>
      </c>
    </row>
    <row r="765" spans="1:1">
      <c r="A765">
        <v>3527</v>
      </c>
    </row>
    <row r="766" spans="1:1">
      <c r="A766">
        <v>3528</v>
      </c>
    </row>
    <row r="767" spans="1:1">
      <c r="A767">
        <v>3529</v>
      </c>
    </row>
    <row r="768" spans="1:1">
      <c r="A768">
        <v>3531</v>
      </c>
    </row>
    <row r="769" spans="1:1">
      <c r="A769">
        <v>3532</v>
      </c>
    </row>
    <row r="770" spans="1:1">
      <c r="A770">
        <v>3533</v>
      </c>
    </row>
    <row r="771" spans="1:1">
      <c r="A771">
        <v>3535</v>
      </c>
    </row>
    <row r="772" spans="1:1">
      <c r="A772">
        <v>3536</v>
      </c>
    </row>
    <row r="773" spans="1:1">
      <c r="A773">
        <v>3537</v>
      </c>
    </row>
    <row r="774" spans="1:1">
      <c r="A774">
        <v>3540</v>
      </c>
    </row>
    <row r="775" spans="1:1">
      <c r="A775">
        <v>3541</v>
      </c>
    </row>
    <row r="776" spans="1:1">
      <c r="A776">
        <v>3545</v>
      </c>
    </row>
    <row r="777" spans="1:1">
      <c r="A777">
        <v>3546</v>
      </c>
    </row>
    <row r="778" spans="1:1">
      <c r="A778">
        <v>3548</v>
      </c>
    </row>
    <row r="779" spans="1:1">
      <c r="A779">
        <v>3550</v>
      </c>
    </row>
    <row r="780" spans="1:1">
      <c r="A780">
        <v>3551</v>
      </c>
    </row>
    <row r="781" spans="1:1">
      <c r="A781">
        <v>3552</v>
      </c>
    </row>
    <row r="782" spans="1:1">
      <c r="A782">
        <v>3553</v>
      </c>
    </row>
    <row r="783" spans="1:1">
      <c r="A783">
        <v>3555</v>
      </c>
    </row>
    <row r="784" spans="1:1">
      <c r="A784">
        <v>3556</v>
      </c>
    </row>
    <row r="785" spans="1:1">
      <c r="A785">
        <v>3557</v>
      </c>
    </row>
    <row r="786" spans="1:1">
      <c r="A786">
        <v>3558</v>
      </c>
    </row>
    <row r="787" spans="1:1">
      <c r="A787">
        <v>3559</v>
      </c>
    </row>
    <row r="788" spans="1:1">
      <c r="A788">
        <v>3561</v>
      </c>
    </row>
    <row r="789" spans="1:1">
      <c r="A789">
        <v>3562</v>
      </c>
    </row>
    <row r="790" spans="1:1">
      <c r="A790">
        <v>3563</v>
      </c>
    </row>
    <row r="791" spans="1:1">
      <c r="A791">
        <v>3564</v>
      </c>
    </row>
    <row r="792" spans="1:1">
      <c r="A792">
        <v>3567</v>
      </c>
    </row>
    <row r="793" spans="1:1">
      <c r="A793">
        <v>3570</v>
      </c>
    </row>
    <row r="794" spans="1:1">
      <c r="A794">
        <v>3573</v>
      </c>
    </row>
    <row r="795" spans="1:1">
      <c r="A795">
        <v>3576</v>
      </c>
    </row>
    <row r="796" spans="1:1">
      <c r="A796">
        <v>3577</v>
      </c>
    </row>
    <row r="797" spans="1:1">
      <c r="A797">
        <v>3579</v>
      </c>
    </row>
    <row r="798" spans="1:1">
      <c r="A798">
        <v>3580</v>
      </c>
    </row>
    <row r="799" spans="1:1">
      <c r="A799">
        <v>3581</v>
      </c>
    </row>
    <row r="800" spans="1:1">
      <c r="A800">
        <v>3583</v>
      </c>
    </row>
    <row r="801" spans="1:1">
      <c r="A801">
        <v>3584</v>
      </c>
    </row>
    <row r="802" spans="1:1">
      <c r="A802">
        <v>3587</v>
      </c>
    </row>
    <row r="803" spans="1:1">
      <c r="A803">
        <v>3588</v>
      </c>
    </row>
    <row r="804" spans="1:1">
      <c r="A804">
        <v>3591</v>
      </c>
    </row>
    <row r="805" spans="1:1">
      <c r="A805">
        <v>3593</v>
      </c>
    </row>
    <row r="806" spans="1:1">
      <c r="A806">
        <v>3594</v>
      </c>
    </row>
    <row r="807" spans="1:1">
      <c r="A807">
        <v>3596</v>
      </c>
    </row>
    <row r="808" spans="1:1">
      <c r="A808">
        <v>3598</v>
      </c>
    </row>
    <row r="809" spans="1:1">
      <c r="A809">
        <v>3605</v>
      </c>
    </row>
    <row r="810" spans="1:1">
      <c r="A810">
        <v>3607</v>
      </c>
    </row>
    <row r="811" spans="1:1">
      <c r="A811">
        <v>3609</v>
      </c>
    </row>
    <row r="812" spans="1:1">
      <c r="A812">
        <v>3611</v>
      </c>
    </row>
    <row r="813" spans="1:1">
      <c r="A813">
        <v>3615</v>
      </c>
    </row>
    <row r="814" spans="1:1">
      <c r="A814">
        <v>3617</v>
      </c>
    </row>
    <row r="815" spans="1:1">
      <c r="A815">
        <v>3622</v>
      </c>
    </row>
    <row r="816" spans="1:1">
      <c r="A816">
        <v>3623</v>
      </c>
    </row>
    <row r="817" spans="1:1">
      <c r="A817">
        <v>3624</v>
      </c>
    </row>
    <row r="818" spans="1:1">
      <c r="A818">
        <v>3625</v>
      </c>
    </row>
    <row r="819" spans="1:1">
      <c r="A819">
        <v>3628</v>
      </c>
    </row>
    <row r="820" spans="1:1">
      <c r="A820">
        <v>3629</v>
      </c>
    </row>
    <row r="821" spans="1:1">
      <c r="A821">
        <v>3630</v>
      </c>
    </row>
    <row r="822" spans="1:1">
      <c r="A822">
        <v>3631</v>
      </c>
    </row>
    <row r="823" spans="1:1">
      <c r="A823">
        <v>3632</v>
      </c>
    </row>
    <row r="824" spans="1:1">
      <c r="A824">
        <v>3642</v>
      </c>
    </row>
    <row r="825" spans="1:1">
      <c r="A825">
        <v>3645</v>
      </c>
    </row>
    <row r="826" spans="1:1">
      <c r="A826">
        <v>3646</v>
      </c>
    </row>
    <row r="827" spans="1:1">
      <c r="A827">
        <v>3652</v>
      </c>
    </row>
    <row r="828" spans="1:1">
      <c r="A828">
        <v>3653</v>
      </c>
    </row>
    <row r="829" spans="1:1">
      <c r="A829">
        <v>3658</v>
      </c>
    </row>
    <row r="830" spans="1:1">
      <c r="A830">
        <v>3661</v>
      </c>
    </row>
    <row r="831" spans="1:1">
      <c r="A831">
        <v>3662</v>
      </c>
    </row>
    <row r="832" spans="1:1">
      <c r="A832">
        <v>3663</v>
      </c>
    </row>
    <row r="833" spans="1:1">
      <c r="A833">
        <v>3664</v>
      </c>
    </row>
    <row r="834" spans="1:1">
      <c r="A834">
        <v>3665</v>
      </c>
    </row>
    <row r="835" spans="1:1">
      <c r="A835">
        <v>3666</v>
      </c>
    </row>
    <row r="836" spans="1:1">
      <c r="A836">
        <v>3669</v>
      </c>
    </row>
    <row r="837" spans="1:1">
      <c r="A837">
        <v>3672</v>
      </c>
    </row>
    <row r="838" spans="1:1">
      <c r="A838">
        <v>3673</v>
      </c>
    </row>
    <row r="839" spans="1:1">
      <c r="A839">
        <v>3675</v>
      </c>
    </row>
    <row r="840" spans="1:1">
      <c r="A840">
        <v>3679</v>
      </c>
    </row>
    <row r="841" spans="1:1">
      <c r="A841">
        <v>3680</v>
      </c>
    </row>
    <row r="842" spans="1:1">
      <c r="A842">
        <v>3682</v>
      </c>
    </row>
    <row r="843" spans="1:1">
      <c r="A843">
        <v>3684</v>
      </c>
    </row>
    <row r="844" spans="1:1">
      <c r="A844">
        <v>3685</v>
      </c>
    </row>
    <row r="845" spans="1:1">
      <c r="A845">
        <v>3686</v>
      </c>
    </row>
    <row r="846" spans="1:1">
      <c r="A846">
        <v>3687</v>
      </c>
    </row>
    <row r="847" spans="1:1">
      <c r="A847">
        <v>3689</v>
      </c>
    </row>
    <row r="848" spans="1:1">
      <c r="A848">
        <v>3691</v>
      </c>
    </row>
    <row r="849" spans="1:1">
      <c r="A849">
        <v>3693</v>
      </c>
    </row>
    <row r="850" spans="1:1">
      <c r="A850">
        <v>3694</v>
      </c>
    </row>
    <row r="851" spans="1:1">
      <c r="A851">
        <v>3698</v>
      </c>
    </row>
    <row r="852" spans="1:1">
      <c r="A852">
        <v>3701</v>
      </c>
    </row>
    <row r="853" spans="1:1">
      <c r="A853">
        <v>3702</v>
      </c>
    </row>
    <row r="854" spans="1:1">
      <c r="A854">
        <v>3703</v>
      </c>
    </row>
    <row r="855" spans="1:1">
      <c r="A855">
        <v>3704</v>
      </c>
    </row>
    <row r="856" spans="1:1">
      <c r="A856">
        <v>3705</v>
      </c>
    </row>
    <row r="857" spans="1:1">
      <c r="A857">
        <v>3706</v>
      </c>
    </row>
    <row r="858" spans="1:1">
      <c r="A858">
        <v>3707</v>
      </c>
    </row>
    <row r="859" spans="1:1">
      <c r="A859">
        <v>4102</v>
      </c>
    </row>
    <row r="860" spans="1:1">
      <c r="A860">
        <v>4103</v>
      </c>
    </row>
    <row r="861" spans="1:1">
      <c r="A861">
        <v>4104</v>
      </c>
    </row>
    <row r="862" spans="1:1">
      <c r="A862">
        <v>4105</v>
      </c>
    </row>
    <row r="863" spans="1:1">
      <c r="A863">
        <v>4106</v>
      </c>
    </row>
    <row r="864" spans="1:1">
      <c r="A864">
        <v>4107</v>
      </c>
    </row>
    <row r="865" spans="1:1">
      <c r="A865">
        <v>4108</v>
      </c>
    </row>
    <row r="866" spans="1:1">
      <c r="A866">
        <v>4109</v>
      </c>
    </row>
    <row r="867" spans="1:1">
      <c r="A867">
        <v>4111</v>
      </c>
    </row>
    <row r="868" spans="1:1">
      <c r="A868">
        <v>4113</v>
      </c>
    </row>
    <row r="869" spans="1:1">
      <c r="A869">
        <v>4114</v>
      </c>
    </row>
    <row r="870" spans="1:1">
      <c r="A870">
        <v>4119</v>
      </c>
    </row>
    <row r="871" spans="1:1">
      <c r="A871">
        <v>4120</v>
      </c>
    </row>
    <row r="872" spans="1:1">
      <c r="A872">
        <v>4121</v>
      </c>
    </row>
    <row r="873" spans="1:1">
      <c r="A873">
        <v>4123</v>
      </c>
    </row>
    <row r="874" spans="1:1">
      <c r="A874">
        <v>4126</v>
      </c>
    </row>
    <row r="875" spans="1:1">
      <c r="A875">
        <v>4127</v>
      </c>
    </row>
    <row r="876" spans="1:1">
      <c r="A876">
        <v>4128</v>
      </c>
    </row>
    <row r="877" spans="1:1">
      <c r="A877">
        <v>4129</v>
      </c>
    </row>
    <row r="878" spans="1:1">
      <c r="A878">
        <v>4130</v>
      </c>
    </row>
    <row r="879" spans="1:1">
      <c r="A879">
        <v>4131</v>
      </c>
    </row>
    <row r="880" spans="1:1">
      <c r="A880">
        <v>4133</v>
      </c>
    </row>
    <row r="881" spans="1:1">
      <c r="A881">
        <v>4137</v>
      </c>
    </row>
    <row r="882" spans="1:1">
      <c r="A882">
        <v>4138</v>
      </c>
    </row>
    <row r="883" spans="1:1">
      <c r="A883">
        <v>4139</v>
      </c>
    </row>
    <row r="884" spans="1:1">
      <c r="A884">
        <v>4141</v>
      </c>
    </row>
    <row r="885" spans="1:1">
      <c r="A885">
        <v>4142</v>
      </c>
    </row>
    <row r="886" spans="1:1">
      <c r="A886">
        <v>4144</v>
      </c>
    </row>
    <row r="887" spans="1:1">
      <c r="A887">
        <v>4152</v>
      </c>
    </row>
    <row r="888" spans="1:1">
      <c r="A888">
        <v>4153</v>
      </c>
    </row>
    <row r="889" spans="1:1">
      <c r="A889">
        <v>4154</v>
      </c>
    </row>
    <row r="890" spans="1:1">
      <c r="A890">
        <v>4157</v>
      </c>
    </row>
    <row r="891" spans="1:1">
      <c r="A891">
        <v>4160</v>
      </c>
    </row>
    <row r="892" spans="1:1">
      <c r="A892">
        <v>4161</v>
      </c>
    </row>
    <row r="893" spans="1:1">
      <c r="A893">
        <v>4162</v>
      </c>
    </row>
    <row r="894" spans="1:1">
      <c r="A894">
        <v>4163</v>
      </c>
    </row>
    <row r="895" spans="1:1">
      <c r="A895">
        <v>4164</v>
      </c>
    </row>
    <row r="896" spans="1:1">
      <c r="A896">
        <v>4168</v>
      </c>
    </row>
    <row r="897" spans="1:1">
      <c r="A897">
        <v>4171</v>
      </c>
    </row>
    <row r="898" spans="1:1">
      <c r="A898">
        <v>4173</v>
      </c>
    </row>
    <row r="899" spans="1:1">
      <c r="A899">
        <v>4174</v>
      </c>
    </row>
    <row r="900" spans="1:1">
      <c r="A900">
        <v>4175</v>
      </c>
    </row>
    <row r="901" spans="1:1">
      <c r="A901">
        <v>4180</v>
      </c>
    </row>
    <row r="902" spans="1:1">
      <c r="A902">
        <v>4188</v>
      </c>
    </row>
    <row r="903" spans="1:1">
      <c r="A903">
        <v>4192</v>
      </c>
    </row>
    <row r="904" spans="1:1">
      <c r="A904">
        <v>4198</v>
      </c>
    </row>
    <row r="905" spans="1:1">
      <c r="A905">
        <v>4205</v>
      </c>
    </row>
    <row r="906" spans="1:1">
      <c r="A906">
        <v>4207</v>
      </c>
    </row>
    <row r="907" spans="1:1">
      <c r="A907">
        <v>4303</v>
      </c>
    </row>
    <row r="908" spans="1:1">
      <c r="A908">
        <v>4304</v>
      </c>
    </row>
    <row r="909" spans="1:1">
      <c r="A909">
        <v>4305</v>
      </c>
    </row>
    <row r="910" spans="1:1">
      <c r="A910">
        <v>4306</v>
      </c>
    </row>
    <row r="911" spans="1:1">
      <c r="A911">
        <v>4401</v>
      </c>
    </row>
    <row r="912" spans="1:1">
      <c r="A912">
        <v>4402</v>
      </c>
    </row>
    <row r="913" spans="1:1">
      <c r="A913">
        <v>4406</v>
      </c>
    </row>
    <row r="914" spans="1:1">
      <c r="A914">
        <v>4414</v>
      </c>
    </row>
    <row r="915" spans="1:1">
      <c r="A915">
        <v>4415</v>
      </c>
    </row>
    <row r="916" spans="1:1">
      <c r="A916">
        <v>4416</v>
      </c>
    </row>
    <row r="917" spans="1:1">
      <c r="A917">
        <v>4417</v>
      </c>
    </row>
    <row r="918" spans="1:1">
      <c r="A918">
        <v>4419</v>
      </c>
    </row>
    <row r="919" spans="1:1">
      <c r="A919">
        <v>4420</v>
      </c>
    </row>
    <row r="920" spans="1:1">
      <c r="A920">
        <v>4426</v>
      </c>
    </row>
    <row r="921" spans="1:1">
      <c r="A921">
        <v>4429</v>
      </c>
    </row>
    <row r="922" spans="1:1">
      <c r="A922">
        <v>4430</v>
      </c>
    </row>
    <row r="923" spans="1:1">
      <c r="A923">
        <v>4432</v>
      </c>
    </row>
    <row r="924" spans="1:1">
      <c r="A924">
        <v>4433</v>
      </c>
    </row>
    <row r="925" spans="1:1">
      <c r="A925">
        <v>4502</v>
      </c>
    </row>
    <row r="926" spans="1:1">
      <c r="A926">
        <v>4503</v>
      </c>
    </row>
    <row r="927" spans="1:1">
      <c r="A927">
        <v>4506</v>
      </c>
    </row>
    <row r="928" spans="1:1">
      <c r="A928">
        <v>4510</v>
      </c>
    </row>
    <row r="929" spans="1:1">
      <c r="A929">
        <v>4513</v>
      </c>
    </row>
    <row r="930" spans="1:1">
      <c r="A930">
        <v>4523</v>
      </c>
    </row>
    <row r="931" spans="1:1">
      <c r="A931">
        <v>4526</v>
      </c>
    </row>
    <row r="932" spans="1:1">
      <c r="A932">
        <v>4527</v>
      </c>
    </row>
    <row r="933" spans="1:1">
      <c r="A933">
        <v>4528</v>
      </c>
    </row>
    <row r="934" spans="1:1">
      <c r="A934">
        <v>4529</v>
      </c>
    </row>
    <row r="935" spans="1:1">
      <c r="A935">
        <v>4530</v>
      </c>
    </row>
    <row r="936" spans="1:1">
      <c r="A936">
        <v>4532</v>
      </c>
    </row>
    <row r="937" spans="1:1">
      <c r="A937">
        <v>4533</v>
      </c>
    </row>
    <row r="938" spans="1:1">
      <c r="A938">
        <v>4534</v>
      </c>
    </row>
    <row r="939" spans="1:1">
      <c r="A939">
        <v>4535</v>
      </c>
    </row>
    <row r="940" spans="1:1">
      <c r="A940">
        <v>4536</v>
      </c>
    </row>
    <row r="941" spans="1:1">
      <c r="A941">
        <v>4541</v>
      </c>
    </row>
    <row r="942" spans="1:1">
      <c r="A942">
        <v>4542</v>
      </c>
    </row>
    <row r="943" spans="1:1">
      <c r="A943">
        <v>4549</v>
      </c>
    </row>
    <row r="944" spans="1:1">
      <c r="A944">
        <v>4550</v>
      </c>
    </row>
    <row r="945" spans="1:1">
      <c r="A945">
        <v>4609</v>
      </c>
    </row>
    <row r="946" spans="1:1">
      <c r="A946">
        <v>4702</v>
      </c>
    </row>
    <row r="947" spans="1:1">
      <c r="A947">
        <v>4703</v>
      </c>
    </row>
    <row r="948" spans="1:1">
      <c r="A948">
        <v>4706</v>
      </c>
    </row>
    <row r="949" spans="1:1">
      <c r="A949">
        <v>4707</v>
      </c>
    </row>
    <row r="950" spans="1:1">
      <c r="A950">
        <v>4711</v>
      </c>
    </row>
    <row r="951" spans="1:1">
      <c r="A951">
        <v>4712</v>
      </c>
    </row>
    <row r="952" spans="1:1">
      <c r="A952">
        <v>4714</v>
      </c>
    </row>
    <row r="953" spans="1:1">
      <c r="A953">
        <v>4716</v>
      </c>
    </row>
    <row r="954" spans="1:1">
      <c r="A954">
        <v>4720</v>
      </c>
    </row>
    <row r="955" spans="1:1">
      <c r="A955">
        <v>4721</v>
      </c>
    </row>
    <row r="956" spans="1:1">
      <c r="A956">
        <v>4722</v>
      </c>
    </row>
    <row r="957" spans="1:1">
      <c r="A957">
        <v>4725</v>
      </c>
    </row>
    <row r="958" spans="1:1">
      <c r="A958">
        <v>4726</v>
      </c>
    </row>
    <row r="959" spans="1:1">
      <c r="A959">
        <v>4728</v>
      </c>
    </row>
    <row r="960" spans="1:1">
      <c r="A960">
        <v>4729</v>
      </c>
    </row>
    <row r="961" spans="1:1">
      <c r="A961">
        <v>4733</v>
      </c>
    </row>
    <row r="962" spans="1:1">
      <c r="A962">
        <v>4735</v>
      </c>
    </row>
    <row r="963" spans="1:1">
      <c r="A963">
        <v>4736</v>
      </c>
    </row>
    <row r="964" spans="1:1">
      <c r="A964">
        <v>4737</v>
      </c>
    </row>
    <row r="965" spans="1:1">
      <c r="A965">
        <v>4739</v>
      </c>
    </row>
    <row r="966" spans="1:1">
      <c r="A966">
        <v>4743</v>
      </c>
    </row>
    <row r="967" spans="1:1">
      <c r="A967">
        <v>4745</v>
      </c>
    </row>
    <row r="968" spans="1:1">
      <c r="A968">
        <v>4746</v>
      </c>
    </row>
    <row r="969" spans="1:1">
      <c r="A969">
        <v>4747</v>
      </c>
    </row>
    <row r="970" spans="1:1">
      <c r="A970">
        <v>4755</v>
      </c>
    </row>
    <row r="971" spans="1:1">
      <c r="A971">
        <v>4903</v>
      </c>
    </row>
    <row r="972" spans="1:1">
      <c r="A972">
        <v>4904</v>
      </c>
    </row>
    <row r="973" spans="1:1">
      <c r="A973">
        <v>4905</v>
      </c>
    </row>
    <row r="974" spans="1:1">
      <c r="A974">
        <v>4906</v>
      </c>
    </row>
    <row r="975" spans="1:1">
      <c r="A975">
        <v>4908</v>
      </c>
    </row>
    <row r="976" spans="1:1">
      <c r="A976">
        <v>4909</v>
      </c>
    </row>
    <row r="977" spans="1:1">
      <c r="A977">
        <v>4911</v>
      </c>
    </row>
    <row r="978" spans="1:1">
      <c r="A978">
        <v>4912</v>
      </c>
    </row>
    <row r="979" spans="1:1">
      <c r="A979">
        <v>4915</v>
      </c>
    </row>
    <row r="980" spans="1:1">
      <c r="A980">
        <v>4916</v>
      </c>
    </row>
    <row r="981" spans="1:1">
      <c r="A981">
        <v>4919</v>
      </c>
    </row>
    <row r="982" spans="1:1">
      <c r="A982">
        <v>4924</v>
      </c>
    </row>
    <row r="983" spans="1:1">
      <c r="A983">
        <v>4927</v>
      </c>
    </row>
    <row r="984" spans="1:1">
      <c r="A984">
        <v>4930</v>
      </c>
    </row>
    <row r="985" spans="1:1">
      <c r="A985">
        <v>4933</v>
      </c>
    </row>
    <row r="986" spans="1:1">
      <c r="A986">
        <v>4934</v>
      </c>
    </row>
    <row r="987" spans="1:1">
      <c r="A987">
        <v>4935</v>
      </c>
    </row>
    <row r="988" spans="1:1">
      <c r="A988">
        <v>4938</v>
      </c>
    </row>
    <row r="989" spans="1:1">
      <c r="A989">
        <v>4939</v>
      </c>
    </row>
    <row r="990" spans="1:1">
      <c r="A990">
        <v>4942</v>
      </c>
    </row>
    <row r="991" spans="1:1">
      <c r="A991">
        <v>4944</v>
      </c>
    </row>
    <row r="992" spans="1:1">
      <c r="A992">
        <v>4946</v>
      </c>
    </row>
    <row r="993" spans="1:1">
      <c r="A993">
        <v>4947</v>
      </c>
    </row>
    <row r="994" spans="1:1">
      <c r="A994">
        <v>4950</v>
      </c>
    </row>
    <row r="995" spans="1:1">
      <c r="A995">
        <v>4952</v>
      </c>
    </row>
    <row r="996" spans="1:1">
      <c r="A996">
        <v>4953</v>
      </c>
    </row>
    <row r="997" spans="1:1">
      <c r="A997">
        <v>4956</v>
      </c>
    </row>
    <row r="998" spans="1:1">
      <c r="A998">
        <v>4958</v>
      </c>
    </row>
    <row r="999" spans="1:1">
      <c r="A999">
        <v>4960</v>
      </c>
    </row>
    <row r="1000" spans="1:1">
      <c r="A1000">
        <v>4965</v>
      </c>
    </row>
    <row r="1001" spans="1:1">
      <c r="A1001">
        <v>4966</v>
      </c>
    </row>
    <row r="1002" spans="1:1">
      <c r="A1002">
        <v>4971</v>
      </c>
    </row>
    <row r="1003" spans="1:1">
      <c r="A1003">
        <v>4972</v>
      </c>
    </row>
    <row r="1004" spans="1:1">
      <c r="A1004">
        <v>4973</v>
      </c>
    </row>
    <row r="1005" spans="1:1">
      <c r="A1005">
        <v>4974</v>
      </c>
    </row>
    <row r="1006" spans="1:1">
      <c r="A1006">
        <v>4976</v>
      </c>
    </row>
    <row r="1007" spans="1:1">
      <c r="A1007">
        <v>4977</v>
      </c>
    </row>
    <row r="1008" spans="1:1">
      <c r="A1008">
        <v>4979</v>
      </c>
    </row>
    <row r="1009" spans="1:1">
      <c r="A1009">
        <v>4984</v>
      </c>
    </row>
    <row r="1010" spans="1:1">
      <c r="A1010">
        <v>4987</v>
      </c>
    </row>
    <row r="1011" spans="1:1">
      <c r="A1011">
        <v>4991</v>
      </c>
    </row>
    <row r="1012" spans="1:1">
      <c r="A1012">
        <v>4994</v>
      </c>
    </row>
    <row r="1013" spans="1:1">
      <c r="A1013">
        <v>4995</v>
      </c>
    </row>
    <row r="1014" spans="1:1">
      <c r="A1014">
        <v>4999</v>
      </c>
    </row>
    <row r="1015" spans="1:1">
      <c r="A1015">
        <v>5007</v>
      </c>
    </row>
    <row r="1016" spans="1:1">
      <c r="A1016">
        <v>5009</v>
      </c>
    </row>
    <row r="1017" spans="1:1">
      <c r="A1017">
        <v>5011</v>
      </c>
    </row>
    <row r="1018" spans="1:1">
      <c r="A1018">
        <v>5013</v>
      </c>
    </row>
    <row r="1019" spans="1:1">
      <c r="A1019">
        <v>5014</v>
      </c>
    </row>
    <row r="1020" spans="1:1">
      <c r="A1020">
        <v>5015</v>
      </c>
    </row>
    <row r="1021" spans="1:1">
      <c r="A1021">
        <v>5016</v>
      </c>
    </row>
    <row r="1022" spans="1:1">
      <c r="A1022">
        <v>5102</v>
      </c>
    </row>
    <row r="1023" spans="1:1">
      <c r="A1023">
        <v>5201</v>
      </c>
    </row>
    <row r="1024" spans="1:1">
      <c r="A1024">
        <v>5202</v>
      </c>
    </row>
    <row r="1025" spans="1:1">
      <c r="A1025">
        <v>5203</v>
      </c>
    </row>
    <row r="1026" spans="1:1">
      <c r="A1026">
        <v>5205</v>
      </c>
    </row>
    <row r="1027" spans="1:1">
      <c r="A1027">
        <v>5206</v>
      </c>
    </row>
    <row r="1028" spans="1:1">
      <c r="A1028">
        <v>5209</v>
      </c>
    </row>
    <row r="1029" spans="1:1">
      <c r="A1029">
        <v>5210</v>
      </c>
    </row>
    <row r="1030" spans="1:1">
      <c r="A1030">
        <v>5211</v>
      </c>
    </row>
    <row r="1031" spans="1:1">
      <c r="A1031">
        <v>5212</v>
      </c>
    </row>
    <row r="1032" spans="1:1">
      <c r="A1032">
        <v>5213</v>
      </c>
    </row>
    <row r="1033" spans="1:1">
      <c r="A1033">
        <v>5215</v>
      </c>
    </row>
    <row r="1034" spans="1:1">
      <c r="A1034">
        <v>5225</v>
      </c>
    </row>
    <row r="1035" spans="1:1">
      <c r="A1035">
        <v>5227</v>
      </c>
    </row>
    <row r="1036" spans="1:1">
      <c r="A1036">
        <v>5230</v>
      </c>
    </row>
    <row r="1037" spans="1:1">
      <c r="A1037">
        <v>5234</v>
      </c>
    </row>
    <row r="1038" spans="1:1">
      <c r="A1038">
        <v>5243</v>
      </c>
    </row>
    <row r="1039" spans="1:1">
      <c r="A1039">
        <v>5251</v>
      </c>
    </row>
    <row r="1040" spans="1:1">
      <c r="A1040">
        <v>5259</v>
      </c>
    </row>
    <row r="1041" spans="1:1">
      <c r="A1041">
        <v>5263</v>
      </c>
    </row>
    <row r="1042" spans="1:1">
      <c r="A1042">
        <v>5264</v>
      </c>
    </row>
    <row r="1043" spans="1:1">
      <c r="A1043">
        <v>5266</v>
      </c>
    </row>
    <row r="1044" spans="1:1">
      <c r="A1044">
        <v>5269</v>
      </c>
    </row>
    <row r="1045" spans="1:1">
      <c r="A1045">
        <v>5272</v>
      </c>
    </row>
    <row r="1046" spans="1:1">
      <c r="A1046">
        <v>5274</v>
      </c>
    </row>
    <row r="1047" spans="1:1">
      <c r="A1047">
        <v>5276</v>
      </c>
    </row>
    <row r="1048" spans="1:1">
      <c r="A1048">
        <v>5278</v>
      </c>
    </row>
    <row r="1049" spans="1:1">
      <c r="A1049">
        <v>5284</v>
      </c>
    </row>
    <row r="1050" spans="1:1">
      <c r="A1050">
        <v>5285</v>
      </c>
    </row>
    <row r="1051" spans="1:1">
      <c r="A1051">
        <v>5287</v>
      </c>
    </row>
    <row r="1052" spans="1:1">
      <c r="A1052">
        <v>5288</v>
      </c>
    </row>
    <row r="1053" spans="1:1">
      <c r="A1053">
        <v>5289</v>
      </c>
    </row>
    <row r="1054" spans="1:1">
      <c r="A1054">
        <v>5291</v>
      </c>
    </row>
    <row r="1055" spans="1:1">
      <c r="A1055">
        <v>5301</v>
      </c>
    </row>
    <row r="1056" spans="1:1">
      <c r="A1056">
        <v>5302</v>
      </c>
    </row>
    <row r="1057" spans="1:1">
      <c r="A1057">
        <v>5304</v>
      </c>
    </row>
    <row r="1058" spans="1:1">
      <c r="A1058">
        <v>5305</v>
      </c>
    </row>
    <row r="1059" spans="1:1">
      <c r="A1059">
        <v>5306</v>
      </c>
    </row>
    <row r="1060" spans="1:1">
      <c r="A1060">
        <v>5309</v>
      </c>
    </row>
    <row r="1061" spans="1:1">
      <c r="A1061">
        <v>5310</v>
      </c>
    </row>
    <row r="1062" spans="1:1">
      <c r="A1062">
        <v>5312</v>
      </c>
    </row>
    <row r="1063" spans="1:1">
      <c r="A1063">
        <v>5314</v>
      </c>
    </row>
    <row r="1064" spans="1:1">
      <c r="A1064">
        <v>5315</v>
      </c>
    </row>
    <row r="1065" spans="1:1">
      <c r="A1065">
        <v>5317</v>
      </c>
    </row>
    <row r="1066" spans="1:1">
      <c r="A1066">
        <v>5321</v>
      </c>
    </row>
    <row r="1067" spans="1:1">
      <c r="A1067">
        <v>5324</v>
      </c>
    </row>
    <row r="1068" spans="1:1">
      <c r="A1068">
        <v>5328</v>
      </c>
    </row>
    <row r="1069" spans="1:1">
      <c r="A1069">
        <v>5340</v>
      </c>
    </row>
    <row r="1070" spans="1:1">
      <c r="A1070">
        <v>5344</v>
      </c>
    </row>
    <row r="1071" spans="1:1">
      <c r="A1071">
        <v>5345</v>
      </c>
    </row>
    <row r="1072" spans="1:1">
      <c r="A1072">
        <v>5347</v>
      </c>
    </row>
    <row r="1073" spans="1:1">
      <c r="A1073">
        <v>5348</v>
      </c>
    </row>
    <row r="1074" spans="1:1">
      <c r="A1074">
        <v>5349</v>
      </c>
    </row>
    <row r="1075" spans="1:1">
      <c r="A1075">
        <v>5351</v>
      </c>
    </row>
    <row r="1076" spans="1:1">
      <c r="A1076">
        <v>5353</v>
      </c>
    </row>
    <row r="1077" spans="1:1">
      <c r="A1077">
        <v>5355</v>
      </c>
    </row>
    <row r="1078" spans="1:1">
      <c r="A1078">
        <v>5356</v>
      </c>
    </row>
    <row r="1079" spans="1:1">
      <c r="A1079">
        <v>5364</v>
      </c>
    </row>
    <row r="1080" spans="1:1">
      <c r="A1080">
        <v>5371</v>
      </c>
    </row>
    <row r="1081" spans="1:1">
      <c r="A1081">
        <v>5381</v>
      </c>
    </row>
    <row r="1082" spans="1:1">
      <c r="A1082">
        <v>5383</v>
      </c>
    </row>
    <row r="1083" spans="1:1">
      <c r="A1083">
        <v>5384</v>
      </c>
    </row>
    <row r="1084" spans="1:1">
      <c r="A1084">
        <v>5386</v>
      </c>
    </row>
    <row r="1085" spans="1:1">
      <c r="A1085">
        <v>5388</v>
      </c>
    </row>
    <row r="1086" spans="1:1">
      <c r="A1086">
        <v>5392</v>
      </c>
    </row>
    <row r="1087" spans="1:1">
      <c r="A1087">
        <v>5395</v>
      </c>
    </row>
    <row r="1088" spans="1:1">
      <c r="A1088">
        <v>5398</v>
      </c>
    </row>
    <row r="1089" spans="1:1">
      <c r="A1089">
        <v>5403</v>
      </c>
    </row>
    <row r="1090" spans="1:1">
      <c r="A1090">
        <v>5410</v>
      </c>
    </row>
    <row r="1091" spans="1:1">
      <c r="A1091">
        <v>5425</v>
      </c>
    </row>
    <row r="1092" spans="1:1">
      <c r="A1092">
        <v>5426</v>
      </c>
    </row>
    <row r="1093" spans="1:1">
      <c r="A1093">
        <v>5432</v>
      </c>
    </row>
    <row r="1094" spans="1:1">
      <c r="A1094">
        <v>5434</v>
      </c>
    </row>
    <row r="1095" spans="1:1">
      <c r="A1095">
        <v>5438</v>
      </c>
    </row>
    <row r="1096" spans="1:1">
      <c r="A1096">
        <v>5439</v>
      </c>
    </row>
    <row r="1097" spans="1:1">
      <c r="A1097">
        <v>5443</v>
      </c>
    </row>
    <row r="1098" spans="1:1">
      <c r="A1098">
        <v>5450</v>
      </c>
    </row>
    <row r="1099" spans="1:1">
      <c r="A1099">
        <v>5452</v>
      </c>
    </row>
    <row r="1100" spans="1:1">
      <c r="A1100">
        <v>5455</v>
      </c>
    </row>
    <row r="1101" spans="1:1">
      <c r="A1101">
        <v>5457</v>
      </c>
    </row>
    <row r="1102" spans="1:1">
      <c r="A1102">
        <v>5460</v>
      </c>
    </row>
    <row r="1103" spans="1:1">
      <c r="A1103">
        <v>5464</v>
      </c>
    </row>
    <row r="1104" spans="1:1">
      <c r="A1104">
        <v>5465</v>
      </c>
    </row>
    <row r="1105" spans="1:1">
      <c r="A1105">
        <v>5466</v>
      </c>
    </row>
    <row r="1106" spans="1:1">
      <c r="A1106">
        <v>5468</v>
      </c>
    </row>
    <row r="1107" spans="1:1">
      <c r="A1107">
        <v>5469</v>
      </c>
    </row>
    <row r="1108" spans="1:1">
      <c r="A1108">
        <v>5471</v>
      </c>
    </row>
    <row r="1109" spans="1:1">
      <c r="A1109">
        <v>5474</v>
      </c>
    </row>
    <row r="1110" spans="1:1">
      <c r="A1110">
        <v>5475</v>
      </c>
    </row>
    <row r="1111" spans="1:1">
      <c r="A1111">
        <v>5478</v>
      </c>
    </row>
    <row r="1112" spans="1:1">
      <c r="A1112">
        <v>5480</v>
      </c>
    </row>
    <row r="1113" spans="1:1">
      <c r="A1113">
        <v>5481</v>
      </c>
    </row>
    <row r="1114" spans="1:1">
      <c r="A1114">
        <v>5483</v>
      </c>
    </row>
    <row r="1115" spans="1:1">
      <c r="A1115">
        <v>5484</v>
      </c>
    </row>
    <row r="1116" spans="1:1">
      <c r="A1116">
        <v>5487</v>
      </c>
    </row>
    <row r="1117" spans="1:1">
      <c r="A1117">
        <v>5488</v>
      </c>
    </row>
    <row r="1118" spans="1:1">
      <c r="A1118">
        <v>5489</v>
      </c>
    </row>
    <row r="1119" spans="1:1">
      <c r="A1119">
        <v>5490</v>
      </c>
    </row>
    <row r="1120" spans="1:1">
      <c r="A1120">
        <v>5491</v>
      </c>
    </row>
    <row r="1121" spans="1:1">
      <c r="A1121">
        <v>5493</v>
      </c>
    </row>
    <row r="1122" spans="1:1">
      <c r="A1122">
        <v>5498</v>
      </c>
    </row>
    <row r="1123" spans="1:1">
      <c r="A1123">
        <v>5505</v>
      </c>
    </row>
    <row r="1124" spans="1:1">
      <c r="A1124">
        <v>5508</v>
      </c>
    </row>
    <row r="1125" spans="1:1">
      <c r="A1125">
        <v>5511</v>
      </c>
    </row>
    <row r="1126" spans="1:1">
      <c r="A1126">
        <v>5512</v>
      </c>
    </row>
    <row r="1127" spans="1:1">
      <c r="A1127">
        <v>5514</v>
      </c>
    </row>
    <row r="1128" spans="1:1">
      <c r="A1128">
        <v>5515</v>
      </c>
    </row>
    <row r="1129" spans="1:1">
      <c r="A1129">
        <v>5516</v>
      </c>
    </row>
    <row r="1130" spans="1:1">
      <c r="A1130">
        <v>5519</v>
      </c>
    </row>
    <row r="1131" spans="1:1">
      <c r="A1131">
        <v>5520</v>
      </c>
    </row>
    <row r="1132" spans="1:1">
      <c r="A1132">
        <v>5521</v>
      </c>
    </row>
    <row r="1133" spans="1:1">
      <c r="A1133">
        <v>5522</v>
      </c>
    </row>
    <row r="1134" spans="1:1">
      <c r="A1134">
        <v>5523</v>
      </c>
    </row>
    <row r="1135" spans="1:1">
      <c r="A1135">
        <v>5525</v>
      </c>
    </row>
    <row r="1136" spans="1:1">
      <c r="A1136">
        <v>5529</v>
      </c>
    </row>
    <row r="1137" spans="1:1">
      <c r="A1137">
        <v>5530</v>
      </c>
    </row>
    <row r="1138" spans="1:1">
      <c r="A1138">
        <v>5531</v>
      </c>
    </row>
    <row r="1139" spans="1:1">
      <c r="A1139">
        <v>5533</v>
      </c>
    </row>
    <row r="1140" spans="1:1">
      <c r="A1140">
        <v>5534</v>
      </c>
    </row>
    <row r="1141" spans="1:1">
      <c r="A1141">
        <v>5536</v>
      </c>
    </row>
    <row r="1142" spans="1:1">
      <c r="A1142">
        <v>5538</v>
      </c>
    </row>
    <row r="1143" spans="1:1">
      <c r="A1143">
        <v>5601</v>
      </c>
    </row>
    <row r="1144" spans="1:1">
      <c r="A1144">
        <v>5603</v>
      </c>
    </row>
    <row r="1145" spans="1:1">
      <c r="A1145">
        <v>5604</v>
      </c>
    </row>
    <row r="1146" spans="1:1">
      <c r="A1146">
        <v>5607</v>
      </c>
    </row>
    <row r="1147" spans="1:1">
      <c r="A1147">
        <v>5608</v>
      </c>
    </row>
    <row r="1148" spans="1:1">
      <c r="A1148">
        <v>5609</v>
      </c>
    </row>
    <row r="1149" spans="1:1">
      <c r="A1149">
        <v>5701</v>
      </c>
    </row>
    <row r="1150" spans="1:1">
      <c r="A1150">
        <v>5703</v>
      </c>
    </row>
    <row r="1151" spans="1:1">
      <c r="A1151">
        <v>5704</v>
      </c>
    </row>
    <row r="1152" spans="1:1">
      <c r="A1152">
        <v>5706</v>
      </c>
    </row>
    <row r="1153" spans="1:1">
      <c r="A1153">
        <v>5820</v>
      </c>
    </row>
    <row r="1154" spans="1:1">
      <c r="A1154">
        <v>5871</v>
      </c>
    </row>
    <row r="1155" spans="1:1">
      <c r="A1155">
        <v>5878</v>
      </c>
    </row>
    <row r="1156" spans="1:1">
      <c r="A1156">
        <v>5880</v>
      </c>
    </row>
    <row r="1157" spans="1:1">
      <c r="A1157">
        <v>5902</v>
      </c>
    </row>
    <row r="1158" spans="1:1">
      <c r="A1158">
        <v>5903</v>
      </c>
    </row>
    <row r="1159" spans="1:1">
      <c r="A1159">
        <v>5904</v>
      </c>
    </row>
    <row r="1160" spans="1:1">
      <c r="A1160">
        <v>5905</v>
      </c>
    </row>
    <row r="1161" spans="1:1">
      <c r="A1161">
        <v>5906</v>
      </c>
    </row>
    <row r="1162" spans="1:1">
      <c r="A1162">
        <v>5907</v>
      </c>
    </row>
    <row r="1163" spans="1:1">
      <c r="A1163">
        <v>6005</v>
      </c>
    </row>
    <row r="1164" spans="1:1">
      <c r="A1164">
        <v>6015</v>
      </c>
    </row>
    <row r="1165" spans="1:1">
      <c r="A1165">
        <v>6016</v>
      </c>
    </row>
    <row r="1166" spans="1:1">
      <c r="A1166">
        <v>6020</v>
      </c>
    </row>
    <row r="1167" spans="1:1">
      <c r="A1167">
        <v>6021</v>
      </c>
    </row>
    <row r="1168" spans="1:1">
      <c r="A1168">
        <v>6022</v>
      </c>
    </row>
    <row r="1169" spans="1:1">
      <c r="A1169">
        <v>6023</v>
      </c>
    </row>
    <row r="1170" spans="1:1">
      <c r="A1170">
        <v>6024</v>
      </c>
    </row>
    <row r="1171" spans="1:1">
      <c r="A1171">
        <v>6101</v>
      </c>
    </row>
    <row r="1172" spans="1:1">
      <c r="A1172">
        <v>6103</v>
      </c>
    </row>
    <row r="1173" spans="1:1">
      <c r="A1173">
        <v>6104</v>
      </c>
    </row>
    <row r="1174" spans="1:1">
      <c r="A1174">
        <v>6105</v>
      </c>
    </row>
    <row r="1175" spans="1:1">
      <c r="A1175">
        <v>6107</v>
      </c>
    </row>
    <row r="1176" spans="1:1">
      <c r="A1176">
        <v>6108</v>
      </c>
    </row>
    <row r="1177" spans="1:1">
      <c r="A1177">
        <v>6109</v>
      </c>
    </row>
    <row r="1178" spans="1:1">
      <c r="A1178">
        <v>6111</v>
      </c>
    </row>
    <row r="1179" spans="1:1">
      <c r="A1179">
        <v>6112</v>
      </c>
    </row>
    <row r="1180" spans="1:1">
      <c r="A1180">
        <v>6113</v>
      </c>
    </row>
    <row r="1181" spans="1:1">
      <c r="A1181">
        <v>6114</v>
      </c>
    </row>
    <row r="1182" spans="1:1">
      <c r="A1182">
        <v>6115</v>
      </c>
    </row>
    <row r="1183" spans="1:1">
      <c r="A1183">
        <v>6116</v>
      </c>
    </row>
    <row r="1184" spans="1:1">
      <c r="A1184">
        <v>6117</v>
      </c>
    </row>
    <row r="1185" spans="1:1">
      <c r="A1185">
        <v>6118</v>
      </c>
    </row>
    <row r="1186" spans="1:1">
      <c r="A1186">
        <v>6120</v>
      </c>
    </row>
    <row r="1187" spans="1:1">
      <c r="A1187">
        <v>6121</v>
      </c>
    </row>
    <row r="1188" spans="1:1">
      <c r="A1188">
        <v>6122</v>
      </c>
    </row>
    <row r="1189" spans="1:1">
      <c r="A1189">
        <v>6123</v>
      </c>
    </row>
    <row r="1190" spans="1:1">
      <c r="A1190">
        <v>6124</v>
      </c>
    </row>
    <row r="1191" spans="1:1">
      <c r="A1191">
        <v>6125</v>
      </c>
    </row>
    <row r="1192" spans="1:1">
      <c r="A1192">
        <v>6126</v>
      </c>
    </row>
    <row r="1193" spans="1:1">
      <c r="A1193">
        <v>6127</v>
      </c>
    </row>
    <row r="1194" spans="1:1">
      <c r="A1194">
        <v>6128</v>
      </c>
    </row>
    <row r="1195" spans="1:1">
      <c r="A1195">
        <v>6129</v>
      </c>
    </row>
    <row r="1196" spans="1:1">
      <c r="A1196">
        <v>6130</v>
      </c>
    </row>
    <row r="1197" spans="1:1">
      <c r="A1197">
        <v>6131</v>
      </c>
    </row>
    <row r="1198" spans="1:1">
      <c r="A1198">
        <v>6133</v>
      </c>
    </row>
    <row r="1199" spans="1:1">
      <c r="A1199">
        <v>6134</v>
      </c>
    </row>
    <row r="1200" spans="1:1">
      <c r="A1200">
        <v>6135</v>
      </c>
    </row>
    <row r="1201" spans="1:1">
      <c r="A1201">
        <v>6136</v>
      </c>
    </row>
    <row r="1202" spans="1:1">
      <c r="A1202">
        <v>6138</v>
      </c>
    </row>
    <row r="1203" spans="1:1">
      <c r="A1203">
        <v>6139</v>
      </c>
    </row>
    <row r="1204" spans="1:1">
      <c r="A1204">
        <v>6140</v>
      </c>
    </row>
    <row r="1205" spans="1:1">
      <c r="A1205">
        <v>6141</v>
      </c>
    </row>
    <row r="1206" spans="1:1">
      <c r="A1206">
        <v>6142</v>
      </c>
    </row>
    <row r="1207" spans="1:1">
      <c r="A1207">
        <v>6143</v>
      </c>
    </row>
    <row r="1208" spans="1:1">
      <c r="A1208">
        <v>6144</v>
      </c>
    </row>
    <row r="1209" spans="1:1">
      <c r="A1209">
        <v>6145</v>
      </c>
    </row>
    <row r="1210" spans="1:1">
      <c r="A1210">
        <v>6146</v>
      </c>
    </row>
    <row r="1211" spans="1:1">
      <c r="A1211">
        <v>6147</v>
      </c>
    </row>
    <row r="1212" spans="1:1">
      <c r="A1212">
        <v>6148</v>
      </c>
    </row>
    <row r="1213" spans="1:1">
      <c r="A1213">
        <v>6150</v>
      </c>
    </row>
    <row r="1214" spans="1:1">
      <c r="A1214">
        <v>6151</v>
      </c>
    </row>
    <row r="1215" spans="1:1">
      <c r="A1215">
        <v>6152</v>
      </c>
    </row>
    <row r="1216" spans="1:1">
      <c r="A1216">
        <v>6153</v>
      </c>
    </row>
    <row r="1217" spans="1:1">
      <c r="A1217">
        <v>6154</v>
      </c>
    </row>
    <row r="1218" spans="1:1">
      <c r="A1218">
        <v>6155</v>
      </c>
    </row>
    <row r="1219" spans="1:1">
      <c r="A1219">
        <v>6156</v>
      </c>
    </row>
    <row r="1220" spans="1:1">
      <c r="A1220">
        <v>6158</v>
      </c>
    </row>
    <row r="1221" spans="1:1">
      <c r="A1221">
        <v>6160</v>
      </c>
    </row>
    <row r="1222" spans="1:1">
      <c r="A1222">
        <v>6161</v>
      </c>
    </row>
    <row r="1223" spans="1:1">
      <c r="A1223">
        <v>6163</v>
      </c>
    </row>
    <row r="1224" spans="1:1">
      <c r="A1224">
        <v>6164</v>
      </c>
    </row>
    <row r="1225" spans="1:1">
      <c r="A1225">
        <v>6165</v>
      </c>
    </row>
    <row r="1226" spans="1:1">
      <c r="A1226">
        <v>6166</v>
      </c>
    </row>
    <row r="1227" spans="1:1">
      <c r="A1227">
        <v>6167</v>
      </c>
    </row>
    <row r="1228" spans="1:1">
      <c r="A1228">
        <v>6168</v>
      </c>
    </row>
    <row r="1229" spans="1:1">
      <c r="A1229">
        <v>6169</v>
      </c>
    </row>
    <row r="1230" spans="1:1">
      <c r="A1230">
        <v>6170</v>
      </c>
    </row>
    <row r="1231" spans="1:1">
      <c r="A1231">
        <v>6171</v>
      </c>
    </row>
    <row r="1232" spans="1:1">
      <c r="A1232">
        <v>6172</v>
      </c>
    </row>
    <row r="1233" spans="1:1">
      <c r="A1233">
        <v>6173</v>
      </c>
    </row>
    <row r="1234" spans="1:1">
      <c r="A1234">
        <v>6174</v>
      </c>
    </row>
    <row r="1235" spans="1:1">
      <c r="A1235">
        <v>6175</v>
      </c>
    </row>
    <row r="1236" spans="1:1">
      <c r="A1236">
        <v>6176</v>
      </c>
    </row>
    <row r="1237" spans="1:1">
      <c r="A1237">
        <v>6177</v>
      </c>
    </row>
    <row r="1238" spans="1:1">
      <c r="A1238">
        <v>6179</v>
      </c>
    </row>
    <row r="1239" spans="1:1">
      <c r="A1239">
        <v>6180</v>
      </c>
    </row>
    <row r="1240" spans="1:1">
      <c r="A1240">
        <v>6182</v>
      </c>
    </row>
    <row r="1241" spans="1:1">
      <c r="A1241">
        <v>6183</v>
      </c>
    </row>
    <row r="1242" spans="1:1">
      <c r="A1242">
        <v>6184</v>
      </c>
    </row>
    <row r="1243" spans="1:1">
      <c r="A1243">
        <v>6185</v>
      </c>
    </row>
    <row r="1244" spans="1:1">
      <c r="A1244">
        <v>6186</v>
      </c>
    </row>
    <row r="1245" spans="1:1">
      <c r="A1245">
        <v>6187</v>
      </c>
    </row>
    <row r="1246" spans="1:1">
      <c r="A1246">
        <v>6188</v>
      </c>
    </row>
    <row r="1247" spans="1:1">
      <c r="A1247">
        <v>6189</v>
      </c>
    </row>
    <row r="1248" spans="1:1">
      <c r="A1248">
        <v>6190</v>
      </c>
    </row>
    <row r="1249" spans="1:1">
      <c r="A1249">
        <v>6191</v>
      </c>
    </row>
    <row r="1250" spans="1:1">
      <c r="A1250">
        <v>6192</v>
      </c>
    </row>
    <row r="1251" spans="1:1">
      <c r="A1251">
        <v>6194</v>
      </c>
    </row>
    <row r="1252" spans="1:1">
      <c r="A1252">
        <v>6195</v>
      </c>
    </row>
    <row r="1253" spans="1:1">
      <c r="A1253">
        <v>6196</v>
      </c>
    </row>
    <row r="1254" spans="1:1">
      <c r="A1254">
        <v>6197</v>
      </c>
    </row>
    <row r="1255" spans="1:1">
      <c r="A1255">
        <v>6198</v>
      </c>
    </row>
    <row r="1256" spans="1:1">
      <c r="A1256">
        <v>6199</v>
      </c>
    </row>
    <row r="1257" spans="1:1">
      <c r="A1257">
        <v>6201</v>
      </c>
    </row>
    <row r="1258" spans="1:1">
      <c r="A1258">
        <v>6202</v>
      </c>
    </row>
    <row r="1259" spans="1:1">
      <c r="A1259">
        <v>6203</v>
      </c>
    </row>
    <row r="1260" spans="1:1">
      <c r="A1260">
        <v>6204</v>
      </c>
    </row>
    <row r="1261" spans="1:1">
      <c r="A1261">
        <v>6205</v>
      </c>
    </row>
    <row r="1262" spans="1:1">
      <c r="A1262">
        <v>6206</v>
      </c>
    </row>
    <row r="1263" spans="1:1">
      <c r="A1263">
        <v>6207</v>
      </c>
    </row>
    <row r="1264" spans="1:1">
      <c r="A1264">
        <v>6208</v>
      </c>
    </row>
    <row r="1265" spans="1:1">
      <c r="A1265">
        <v>6209</v>
      </c>
    </row>
    <row r="1266" spans="1:1">
      <c r="A1266">
        <v>6210</v>
      </c>
    </row>
    <row r="1267" spans="1:1">
      <c r="A1267">
        <v>6211</v>
      </c>
    </row>
    <row r="1268" spans="1:1">
      <c r="A1268">
        <v>6212</v>
      </c>
    </row>
    <row r="1269" spans="1:1">
      <c r="A1269">
        <v>6213</v>
      </c>
    </row>
    <row r="1270" spans="1:1">
      <c r="A1270">
        <v>6214</v>
      </c>
    </row>
    <row r="1271" spans="1:1">
      <c r="A1271">
        <v>6215</v>
      </c>
    </row>
    <row r="1272" spans="1:1">
      <c r="A1272">
        <v>6216</v>
      </c>
    </row>
    <row r="1273" spans="1:1">
      <c r="A1273">
        <v>6217</v>
      </c>
    </row>
    <row r="1274" spans="1:1">
      <c r="A1274">
        <v>6218</v>
      </c>
    </row>
    <row r="1275" spans="1:1">
      <c r="A1275">
        <v>6219</v>
      </c>
    </row>
    <row r="1276" spans="1:1">
      <c r="A1276">
        <v>6220</v>
      </c>
    </row>
    <row r="1277" spans="1:1">
      <c r="A1277">
        <v>6221</v>
      </c>
    </row>
    <row r="1278" spans="1:1">
      <c r="A1278">
        <v>6222</v>
      </c>
    </row>
    <row r="1279" spans="1:1">
      <c r="A1279">
        <v>6223</v>
      </c>
    </row>
    <row r="1280" spans="1:1">
      <c r="A1280">
        <v>6224</v>
      </c>
    </row>
    <row r="1281" spans="1:1">
      <c r="A1281">
        <v>6225</v>
      </c>
    </row>
    <row r="1282" spans="1:1">
      <c r="A1282">
        <v>6226</v>
      </c>
    </row>
    <row r="1283" spans="1:1">
      <c r="A1283">
        <v>6227</v>
      </c>
    </row>
    <row r="1284" spans="1:1">
      <c r="A1284">
        <v>6228</v>
      </c>
    </row>
    <row r="1285" spans="1:1">
      <c r="A1285">
        <v>6229</v>
      </c>
    </row>
    <row r="1286" spans="1:1">
      <c r="A1286">
        <v>6230</v>
      </c>
    </row>
    <row r="1287" spans="1:1">
      <c r="A1287">
        <v>6231</v>
      </c>
    </row>
    <row r="1288" spans="1:1">
      <c r="A1288">
        <v>6233</v>
      </c>
    </row>
    <row r="1289" spans="1:1">
      <c r="A1289">
        <v>6234</v>
      </c>
    </row>
    <row r="1290" spans="1:1">
      <c r="A1290">
        <v>6235</v>
      </c>
    </row>
    <row r="1291" spans="1:1">
      <c r="A1291">
        <v>6236</v>
      </c>
    </row>
    <row r="1292" spans="1:1">
      <c r="A1292">
        <v>6237</v>
      </c>
    </row>
    <row r="1293" spans="1:1">
      <c r="A1293">
        <v>6238</v>
      </c>
    </row>
    <row r="1294" spans="1:1">
      <c r="A1294">
        <v>6239</v>
      </c>
    </row>
    <row r="1295" spans="1:1">
      <c r="A1295">
        <v>6240</v>
      </c>
    </row>
    <row r="1296" spans="1:1">
      <c r="A1296">
        <v>6241</v>
      </c>
    </row>
    <row r="1297" spans="1:1">
      <c r="A1297">
        <v>6243</v>
      </c>
    </row>
    <row r="1298" spans="1:1">
      <c r="A1298">
        <v>6244</v>
      </c>
    </row>
    <row r="1299" spans="1:1">
      <c r="A1299">
        <v>6245</v>
      </c>
    </row>
    <row r="1300" spans="1:1">
      <c r="A1300">
        <v>6246</v>
      </c>
    </row>
    <row r="1301" spans="1:1">
      <c r="A1301">
        <v>6247</v>
      </c>
    </row>
    <row r="1302" spans="1:1">
      <c r="A1302">
        <v>6248</v>
      </c>
    </row>
    <row r="1303" spans="1:1">
      <c r="A1303">
        <v>6250</v>
      </c>
    </row>
    <row r="1304" spans="1:1">
      <c r="A1304">
        <v>6251</v>
      </c>
    </row>
    <row r="1305" spans="1:1">
      <c r="A1305">
        <v>6257</v>
      </c>
    </row>
    <row r="1306" spans="1:1">
      <c r="A1306">
        <v>6259</v>
      </c>
    </row>
    <row r="1307" spans="1:1">
      <c r="A1307">
        <v>6261</v>
      </c>
    </row>
    <row r="1308" spans="1:1">
      <c r="A1308">
        <v>6263</v>
      </c>
    </row>
    <row r="1309" spans="1:1">
      <c r="A1309">
        <v>6264</v>
      </c>
    </row>
    <row r="1310" spans="1:1">
      <c r="A1310">
        <v>6265</v>
      </c>
    </row>
    <row r="1311" spans="1:1">
      <c r="A1311">
        <v>6266</v>
      </c>
    </row>
    <row r="1312" spans="1:1">
      <c r="A1312">
        <v>6269</v>
      </c>
    </row>
    <row r="1313" spans="1:1">
      <c r="A1313">
        <v>6270</v>
      </c>
    </row>
    <row r="1314" spans="1:1">
      <c r="A1314">
        <v>6271</v>
      </c>
    </row>
    <row r="1315" spans="1:1">
      <c r="A1315">
        <v>6274</v>
      </c>
    </row>
    <row r="1316" spans="1:1">
      <c r="A1316">
        <v>6275</v>
      </c>
    </row>
    <row r="1317" spans="1:1">
      <c r="A1317">
        <v>6276</v>
      </c>
    </row>
    <row r="1318" spans="1:1">
      <c r="A1318">
        <v>6277</v>
      </c>
    </row>
    <row r="1319" spans="1:1">
      <c r="A1319">
        <v>6278</v>
      </c>
    </row>
    <row r="1320" spans="1:1">
      <c r="A1320">
        <v>6279</v>
      </c>
    </row>
    <row r="1321" spans="1:1">
      <c r="A1321">
        <v>6281</v>
      </c>
    </row>
    <row r="1322" spans="1:1">
      <c r="A1322">
        <v>6282</v>
      </c>
    </row>
    <row r="1323" spans="1:1">
      <c r="A1323">
        <v>6283</v>
      </c>
    </row>
    <row r="1324" spans="1:1">
      <c r="A1324">
        <v>6284</v>
      </c>
    </row>
    <row r="1325" spans="1:1">
      <c r="A1325">
        <v>6285</v>
      </c>
    </row>
    <row r="1326" spans="1:1">
      <c r="A1326">
        <v>6286</v>
      </c>
    </row>
    <row r="1327" spans="1:1">
      <c r="A1327">
        <v>6287</v>
      </c>
    </row>
    <row r="1328" spans="1:1">
      <c r="A1328">
        <v>6289</v>
      </c>
    </row>
    <row r="1329" spans="1:1">
      <c r="A1329">
        <v>6290</v>
      </c>
    </row>
    <row r="1330" spans="1:1">
      <c r="A1330">
        <v>6291</v>
      </c>
    </row>
    <row r="1331" spans="1:1">
      <c r="A1331">
        <v>6292</v>
      </c>
    </row>
    <row r="1332" spans="1:1">
      <c r="A1332">
        <v>6294</v>
      </c>
    </row>
    <row r="1333" spans="1:1">
      <c r="A1333">
        <v>6298</v>
      </c>
    </row>
    <row r="1334" spans="1:1">
      <c r="A1334">
        <v>6404</v>
      </c>
    </row>
    <row r="1335" spans="1:1">
      <c r="A1335">
        <v>6405</v>
      </c>
    </row>
    <row r="1336" spans="1:1">
      <c r="A1336">
        <v>6409</v>
      </c>
    </row>
    <row r="1337" spans="1:1">
      <c r="A1337">
        <v>6411</v>
      </c>
    </row>
    <row r="1338" spans="1:1">
      <c r="A1338">
        <v>6412</v>
      </c>
    </row>
    <row r="1339" spans="1:1">
      <c r="A1339">
        <v>6414</v>
      </c>
    </row>
    <row r="1340" spans="1:1">
      <c r="A1340">
        <v>6415</v>
      </c>
    </row>
    <row r="1341" spans="1:1">
      <c r="A1341">
        <v>6419</v>
      </c>
    </row>
    <row r="1342" spans="1:1">
      <c r="A1342">
        <v>6422</v>
      </c>
    </row>
    <row r="1343" spans="1:1">
      <c r="A1343">
        <v>6426</v>
      </c>
    </row>
    <row r="1344" spans="1:1">
      <c r="A1344">
        <v>6431</v>
      </c>
    </row>
    <row r="1345" spans="1:1">
      <c r="A1345">
        <v>6449</v>
      </c>
    </row>
    <row r="1346" spans="1:1">
      <c r="A1346">
        <v>6451</v>
      </c>
    </row>
    <row r="1347" spans="1:1">
      <c r="A1347">
        <v>6452</v>
      </c>
    </row>
    <row r="1348" spans="1:1">
      <c r="A1348">
        <v>6504</v>
      </c>
    </row>
    <row r="1349" spans="1:1">
      <c r="A1349">
        <v>6505</v>
      </c>
    </row>
    <row r="1350" spans="1:1">
      <c r="A1350">
        <v>6506</v>
      </c>
    </row>
    <row r="1351" spans="1:1">
      <c r="A1351">
        <v>6508</v>
      </c>
    </row>
    <row r="1352" spans="1:1">
      <c r="A1352">
        <v>6509</v>
      </c>
    </row>
    <row r="1353" spans="1:1">
      <c r="A1353">
        <v>6603</v>
      </c>
    </row>
    <row r="1354" spans="1:1">
      <c r="A1354">
        <v>6605</v>
      </c>
    </row>
    <row r="1355" spans="1:1">
      <c r="A1355">
        <v>6609</v>
      </c>
    </row>
    <row r="1356" spans="1:1">
      <c r="A1356">
        <v>6702</v>
      </c>
    </row>
    <row r="1357" spans="1:1">
      <c r="A1357">
        <v>6803</v>
      </c>
    </row>
    <row r="1358" spans="1:1">
      <c r="A1358">
        <v>8011</v>
      </c>
    </row>
    <row r="1359" spans="1:1">
      <c r="A1359">
        <v>8016</v>
      </c>
    </row>
    <row r="1360" spans="1:1">
      <c r="A1360">
        <v>8021</v>
      </c>
    </row>
    <row r="1361" spans="1:1">
      <c r="A1361">
        <v>8024</v>
      </c>
    </row>
    <row r="1362" spans="1:1">
      <c r="A1362">
        <v>8032</v>
      </c>
    </row>
    <row r="1363" spans="1:1">
      <c r="A1363">
        <v>8033</v>
      </c>
    </row>
    <row r="1364" spans="1:1">
      <c r="A1364">
        <v>8034</v>
      </c>
    </row>
    <row r="1365" spans="1:1">
      <c r="A1365">
        <v>8038</v>
      </c>
    </row>
    <row r="1366" spans="1:1">
      <c r="A1366">
        <v>8039</v>
      </c>
    </row>
    <row r="1367" spans="1:1">
      <c r="A1367">
        <v>8040</v>
      </c>
    </row>
    <row r="1368" spans="1:1">
      <c r="A1368">
        <v>8042</v>
      </c>
    </row>
    <row r="1369" spans="1:1">
      <c r="A1369">
        <v>8043</v>
      </c>
    </row>
    <row r="1370" spans="1:1">
      <c r="A1370">
        <v>8044</v>
      </c>
    </row>
    <row r="1371" spans="1:1">
      <c r="A1371">
        <v>8046</v>
      </c>
    </row>
    <row r="1372" spans="1:1">
      <c r="A1372">
        <v>8047</v>
      </c>
    </row>
    <row r="1373" spans="1:1">
      <c r="A1373">
        <v>8048</v>
      </c>
    </row>
    <row r="1374" spans="1:1">
      <c r="A1374">
        <v>8049</v>
      </c>
    </row>
    <row r="1375" spans="1:1">
      <c r="A1375">
        <v>8050</v>
      </c>
    </row>
    <row r="1376" spans="1:1">
      <c r="A1376">
        <v>8053</v>
      </c>
    </row>
    <row r="1377" spans="1:1">
      <c r="A1377">
        <v>8054</v>
      </c>
    </row>
    <row r="1378" spans="1:1">
      <c r="A1378">
        <v>8059</v>
      </c>
    </row>
    <row r="1379" spans="1:1">
      <c r="A1379">
        <v>8064</v>
      </c>
    </row>
    <row r="1380" spans="1:1">
      <c r="A1380">
        <v>8066</v>
      </c>
    </row>
    <row r="1381" spans="1:1">
      <c r="A1381">
        <v>8067</v>
      </c>
    </row>
    <row r="1382" spans="1:1">
      <c r="A1382">
        <v>8068</v>
      </c>
    </row>
    <row r="1383" spans="1:1">
      <c r="A1383">
        <v>8069</v>
      </c>
    </row>
    <row r="1384" spans="1:1">
      <c r="A1384">
        <v>8070</v>
      </c>
    </row>
    <row r="1385" spans="1:1">
      <c r="A1385">
        <v>8071</v>
      </c>
    </row>
    <row r="1386" spans="1:1">
      <c r="A1386">
        <v>8072</v>
      </c>
    </row>
    <row r="1387" spans="1:1">
      <c r="A1387">
        <v>8074</v>
      </c>
    </row>
    <row r="1388" spans="1:1">
      <c r="A1388">
        <v>8076</v>
      </c>
    </row>
    <row r="1389" spans="1:1">
      <c r="A1389">
        <v>8077</v>
      </c>
    </row>
    <row r="1390" spans="1:1">
      <c r="A1390">
        <v>8079</v>
      </c>
    </row>
    <row r="1391" spans="1:1">
      <c r="A1391">
        <v>8080</v>
      </c>
    </row>
    <row r="1392" spans="1:1">
      <c r="A1392">
        <v>8081</v>
      </c>
    </row>
    <row r="1393" spans="1:1">
      <c r="A1393">
        <v>8082</v>
      </c>
    </row>
    <row r="1394" spans="1:1">
      <c r="A1394">
        <v>8083</v>
      </c>
    </row>
    <row r="1395" spans="1:1">
      <c r="A1395">
        <v>8084</v>
      </c>
    </row>
    <row r="1396" spans="1:1">
      <c r="A1396">
        <v>8085</v>
      </c>
    </row>
    <row r="1397" spans="1:1">
      <c r="A1397">
        <v>8086</v>
      </c>
    </row>
    <row r="1398" spans="1:1">
      <c r="A1398">
        <v>8087</v>
      </c>
    </row>
    <row r="1399" spans="1:1">
      <c r="A1399">
        <v>8088</v>
      </c>
    </row>
    <row r="1400" spans="1:1">
      <c r="A1400">
        <v>8091</v>
      </c>
    </row>
    <row r="1401" spans="1:1">
      <c r="A1401">
        <v>8092</v>
      </c>
    </row>
    <row r="1402" spans="1:1">
      <c r="A1402">
        <v>8093</v>
      </c>
    </row>
    <row r="1403" spans="1:1">
      <c r="A1403">
        <v>8096</v>
      </c>
    </row>
    <row r="1404" spans="1:1">
      <c r="A1404">
        <v>8097</v>
      </c>
    </row>
    <row r="1405" spans="1:1">
      <c r="A1405">
        <v>8099</v>
      </c>
    </row>
    <row r="1406" spans="1:1">
      <c r="A1406">
        <v>8101</v>
      </c>
    </row>
    <row r="1407" spans="1:1">
      <c r="A1407">
        <v>8103</v>
      </c>
    </row>
    <row r="1408" spans="1:1">
      <c r="A1408">
        <v>8105</v>
      </c>
    </row>
    <row r="1409" spans="1:1">
      <c r="A1409">
        <v>8107</v>
      </c>
    </row>
    <row r="1410" spans="1:1">
      <c r="A1410">
        <v>8109</v>
      </c>
    </row>
    <row r="1411" spans="1:1">
      <c r="A1411">
        <v>8110</v>
      </c>
    </row>
    <row r="1412" spans="1:1">
      <c r="A1412">
        <v>8111</v>
      </c>
    </row>
    <row r="1413" spans="1:1">
      <c r="A1413">
        <v>8112</v>
      </c>
    </row>
    <row r="1414" spans="1:1">
      <c r="A1414">
        <v>8114</v>
      </c>
    </row>
    <row r="1415" spans="1:1">
      <c r="A1415">
        <v>8121</v>
      </c>
    </row>
    <row r="1416" spans="1:1">
      <c r="A1416">
        <v>8131</v>
      </c>
    </row>
    <row r="1417" spans="1:1">
      <c r="A1417">
        <v>8147</v>
      </c>
    </row>
    <row r="1418" spans="1:1">
      <c r="A1418">
        <v>8150</v>
      </c>
    </row>
    <row r="1419" spans="1:1">
      <c r="A1419">
        <v>8155</v>
      </c>
    </row>
    <row r="1420" spans="1:1">
      <c r="A1420">
        <v>8163</v>
      </c>
    </row>
    <row r="1421" spans="1:1">
      <c r="A1421">
        <v>8171</v>
      </c>
    </row>
    <row r="1422" spans="1:1">
      <c r="A1422">
        <v>8176</v>
      </c>
    </row>
    <row r="1423" spans="1:1">
      <c r="A1423">
        <v>8182</v>
      </c>
    </row>
    <row r="1424" spans="1:1">
      <c r="A1424">
        <v>8183</v>
      </c>
    </row>
    <row r="1425" spans="1:1">
      <c r="A1425">
        <v>8201</v>
      </c>
    </row>
    <row r="1426" spans="1:1">
      <c r="A1426">
        <v>8210</v>
      </c>
    </row>
    <row r="1427" spans="1:1">
      <c r="A1427">
        <v>8213</v>
      </c>
    </row>
    <row r="1428" spans="1:1">
      <c r="A1428">
        <v>8215</v>
      </c>
    </row>
    <row r="1429" spans="1:1">
      <c r="A1429">
        <v>8222</v>
      </c>
    </row>
    <row r="1430" spans="1:1">
      <c r="A1430">
        <v>8234</v>
      </c>
    </row>
    <row r="1431" spans="1:1">
      <c r="A1431">
        <v>8240</v>
      </c>
    </row>
    <row r="1432" spans="1:1">
      <c r="A1432">
        <v>8249</v>
      </c>
    </row>
    <row r="1433" spans="1:1">
      <c r="A1433">
        <v>8255</v>
      </c>
    </row>
    <row r="1434" spans="1:1">
      <c r="A1434">
        <v>8261</v>
      </c>
    </row>
    <row r="1435" spans="1:1">
      <c r="A1435">
        <v>8266</v>
      </c>
    </row>
    <row r="1436" spans="1:1">
      <c r="A1436">
        <v>8271</v>
      </c>
    </row>
    <row r="1437" spans="1:1">
      <c r="A1437">
        <v>8277</v>
      </c>
    </row>
    <row r="1438" spans="1:1">
      <c r="A1438">
        <v>8287</v>
      </c>
    </row>
    <row r="1439" spans="1:1">
      <c r="A1439">
        <v>8289</v>
      </c>
    </row>
    <row r="1440" spans="1:1">
      <c r="A1440">
        <v>8291</v>
      </c>
    </row>
    <row r="1441" spans="1:1">
      <c r="A1441">
        <v>8299</v>
      </c>
    </row>
    <row r="1442" spans="1:1">
      <c r="A1442">
        <v>8341</v>
      </c>
    </row>
    <row r="1443" spans="1:1">
      <c r="A1443">
        <v>8349</v>
      </c>
    </row>
    <row r="1444" spans="1:1">
      <c r="A1444">
        <v>8354</v>
      </c>
    </row>
    <row r="1445" spans="1:1">
      <c r="A1445">
        <v>8358</v>
      </c>
    </row>
    <row r="1446" spans="1:1">
      <c r="A1446">
        <v>8374</v>
      </c>
    </row>
    <row r="1447" spans="1:1">
      <c r="A1447">
        <v>8383</v>
      </c>
    </row>
    <row r="1448" spans="1:1">
      <c r="A1448">
        <v>8390</v>
      </c>
    </row>
    <row r="1449" spans="1:1">
      <c r="A1449">
        <v>8401</v>
      </c>
    </row>
    <row r="1450" spans="1:1">
      <c r="A1450">
        <v>8403</v>
      </c>
    </row>
    <row r="1451" spans="1:1">
      <c r="A1451">
        <v>8404</v>
      </c>
    </row>
    <row r="1452" spans="1:1">
      <c r="A1452">
        <v>8406</v>
      </c>
    </row>
    <row r="1453" spans="1:1">
      <c r="A1453">
        <v>8409</v>
      </c>
    </row>
    <row r="1454" spans="1:1">
      <c r="A1454">
        <v>8410</v>
      </c>
    </row>
    <row r="1455" spans="1:1">
      <c r="A1455">
        <v>8411</v>
      </c>
    </row>
    <row r="1456" spans="1:1">
      <c r="A1456">
        <v>8416</v>
      </c>
    </row>
    <row r="1457" spans="1:1">
      <c r="A1457">
        <v>8418</v>
      </c>
    </row>
    <row r="1458" spans="1:1">
      <c r="A1458">
        <v>8420</v>
      </c>
    </row>
    <row r="1459" spans="1:1">
      <c r="A1459">
        <v>8421</v>
      </c>
    </row>
    <row r="1460" spans="1:1">
      <c r="A1460">
        <v>8422</v>
      </c>
    </row>
    <row r="1461" spans="1:1">
      <c r="A1461">
        <v>8423</v>
      </c>
    </row>
    <row r="1462" spans="1:1">
      <c r="A1462">
        <v>8424</v>
      </c>
    </row>
    <row r="1463" spans="1:1">
      <c r="A1463">
        <v>8426</v>
      </c>
    </row>
    <row r="1464" spans="1:1">
      <c r="A1464">
        <v>8427</v>
      </c>
    </row>
    <row r="1465" spans="1:1">
      <c r="A1465">
        <v>8429</v>
      </c>
    </row>
    <row r="1466" spans="1:1">
      <c r="A1466">
        <v>8431</v>
      </c>
    </row>
    <row r="1467" spans="1:1">
      <c r="A1467">
        <v>8432</v>
      </c>
    </row>
    <row r="1468" spans="1:1">
      <c r="A1468">
        <v>8433</v>
      </c>
    </row>
    <row r="1469" spans="1:1">
      <c r="A1469">
        <v>8435</v>
      </c>
    </row>
    <row r="1470" spans="1:1">
      <c r="A1470">
        <v>8436</v>
      </c>
    </row>
    <row r="1471" spans="1:1">
      <c r="A1471">
        <v>8443</v>
      </c>
    </row>
    <row r="1472" spans="1:1">
      <c r="A1472">
        <v>8446</v>
      </c>
    </row>
    <row r="1473" spans="1:1">
      <c r="A1473">
        <v>8450</v>
      </c>
    </row>
    <row r="1474" spans="1:1">
      <c r="A1474">
        <v>8454</v>
      </c>
    </row>
    <row r="1475" spans="1:1">
      <c r="A1475">
        <v>8905</v>
      </c>
    </row>
    <row r="1476" spans="1:1">
      <c r="A1476">
        <v>8906</v>
      </c>
    </row>
    <row r="1477" spans="1:1">
      <c r="A1477">
        <v>8908</v>
      </c>
    </row>
    <row r="1478" spans="1:1">
      <c r="A1478">
        <v>8913</v>
      </c>
    </row>
    <row r="1479" spans="1:1">
      <c r="A1479">
        <v>8916</v>
      </c>
    </row>
    <row r="1480" spans="1:1">
      <c r="A1480">
        <v>8917</v>
      </c>
    </row>
    <row r="1481" spans="1:1">
      <c r="A1481">
        <v>8921</v>
      </c>
    </row>
    <row r="1482" spans="1:1">
      <c r="A1482">
        <v>8923</v>
      </c>
    </row>
    <row r="1483" spans="1:1">
      <c r="A1483">
        <v>8924</v>
      </c>
    </row>
    <row r="1484" spans="1:1">
      <c r="A1484">
        <v>8925</v>
      </c>
    </row>
    <row r="1485" spans="1:1">
      <c r="A1485">
        <v>8926</v>
      </c>
    </row>
    <row r="1486" spans="1:1">
      <c r="A1486">
        <v>8927</v>
      </c>
    </row>
    <row r="1487" spans="1:1">
      <c r="A1487">
        <v>8928</v>
      </c>
    </row>
    <row r="1488" spans="1:1">
      <c r="A1488">
        <v>8929</v>
      </c>
    </row>
    <row r="1489" spans="1:1">
      <c r="A1489">
        <v>8930</v>
      </c>
    </row>
    <row r="1490" spans="1:1">
      <c r="A1490">
        <v>8931</v>
      </c>
    </row>
    <row r="1491" spans="1:1">
      <c r="A1491">
        <v>8932</v>
      </c>
    </row>
    <row r="1492" spans="1:1">
      <c r="A1492">
        <v>8933</v>
      </c>
    </row>
    <row r="1493" spans="1:1">
      <c r="A1493">
        <v>8934</v>
      </c>
    </row>
    <row r="1494" spans="1:1">
      <c r="A1494">
        <v>8935</v>
      </c>
    </row>
    <row r="1495" spans="1:1">
      <c r="A1495">
        <v>8936</v>
      </c>
    </row>
    <row r="1496" spans="1:1">
      <c r="A1496">
        <v>8937</v>
      </c>
    </row>
    <row r="1497" spans="1:1">
      <c r="A1497">
        <v>8938</v>
      </c>
    </row>
    <row r="1498" spans="1:1">
      <c r="A1498">
        <v>8940</v>
      </c>
    </row>
    <row r="1499" spans="1:1">
      <c r="A1499">
        <v>8941</v>
      </c>
    </row>
    <row r="1500" spans="1:1">
      <c r="A1500">
        <v>8942</v>
      </c>
    </row>
    <row r="1501" spans="1:1">
      <c r="A1501">
        <v>8996</v>
      </c>
    </row>
    <row r="1502" spans="1:1">
      <c r="A1502">
        <v>9802</v>
      </c>
    </row>
    <row r="1503" spans="1:1">
      <c r="A1503">
        <v>9902</v>
      </c>
    </row>
    <row r="1504" spans="1:1">
      <c r="A1504">
        <v>9904</v>
      </c>
    </row>
    <row r="1505" spans="1:1">
      <c r="A1505">
        <v>9905</v>
      </c>
    </row>
    <row r="1506" spans="1:1">
      <c r="A1506">
        <v>9906</v>
      </c>
    </row>
    <row r="1507" spans="1:1">
      <c r="A1507">
        <v>9907</v>
      </c>
    </row>
    <row r="1508" spans="1:1">
      <c r="A1508">
        <v>9908</v>
      </c>
    </row>
    <row r="1509" spans="1:1">
      <c r="A1509">
        <v>9910</v>
      </c>
    </row>
    <row r="1510" spans="1:1">
      <c r="A1510">
        <v>9911</v>
      </c>
    </row>
    <row r="1511" spans="1:1">
      <c r="A1511">
        <v>9912</v>
      </c>
    </row>
    <row r="1512" spans="1:1">
      <c r="A1512">
        <v>9914</v>
      </c>
    </row>
    <row r="1513" spans="1:1">
      <c r="A1513">
        <v>9917</v>
      </c>
    </row>
    <row r="1514" spans="1:1">
      <c r="A1514">
        <v>9918</v>
      </c>
    </row>
    <row r="1515" spans="1:1">
      <c r="A1515">
        <v>9919</v>
      </c>
    </row>
    <row r="1516" spans="1:1">
      <c r="A1516">
        <v>9921</v>
      </c>
    </row>
    <row r="1517" spans="1:1">
      <c r="A1517">
        <v>9924</v>
      </c>
    </row>
    <row r="1518" spans="1:1">
      <c r="A1518">
        <v>9925</v>
      </c>
    </row>
    <row r="1519" spans="1:1">
      <c r="A1519">
        <v>9926</v>
      </c>
    </row>
    <row r="1520" spans="1:1">
      <c r="A1520">
        <v>9927</v>
      </c>
    </row>
    <row r="1521" spans="1:1">
      <c r="A1521">
        <v>9928</v>
      </c>
    </row>
    <row r="1522" spans="1:1">
      <c r="A1522">
        <v>9929</v>
      </c>
    </row>
    <row r="1523" spans="1:1">
      <c r="A1523">
        <v>9930</v>
      </c>
    </row>
    <row r="1524" spans="1:1">
      <c r="A1524">
        <v>9931</v>
      </c>
    </row>
    <row r="1525" spans="1:1">
      <c r="A1525">
        <v>9933</v>
      </c>
    </row>
    <row r="1526" spans="1:1">
      <c r="A1526">
        <v>9934</v>
      </c>
    </row>
    <row r="1527" spans="1:1">
      <c r="A1527">
        <v>9935</v>
      </c>
    </row>
    <row r="1528" spans="1:1">
      <c r="A1528">
        <v>9937</v>
      </c>
    </row>
    <row r="1529" spans="1:1">
      <c r="A1529">
        <v>9938</v>
      </c>
    </row>
    <row r="1530" spans="1:1">
      <c r="A1530">
        <v>9939</v>
      </c>
    </row>
    <row r="1531" spans="1:1">
      <c r="A1531">
        <v>9940</v>
      </c>
    </row>
    <row r="1532" spans="1:1">
      <c r="A1532">
        <v>9941</v>
      </c>
    </row>
    <row r="1533" spans="1:1">
      <c r="A1533">
        <v>9942</v>
      </c>
    </row>
    <row r="1534" spans="1:1">
      <c r="A1534">
        <v>9943</v>
      </c>
    </row>
    <row r="1535" spans="1:1">
      <c r="A1535">
        <v>9944</v>
      </c>
    </row>
    <row r="1536" spans="1:1">
      <c r="A1536">
        <v>9945</v>
      </c>
    </row>
    <row r="1537" spans="1:1">
      <c r="A1537">
        <v>9946</v>
      </c>
    </row>
    <row r="1538" spans="1:1">
      <c r="A1538">
        <v>9949</v>
      </c>
    </row>
    <row r="1539" spans="1:1">
      <c r="A1539">
        <v>9950</v>
      </c>
    </row>
    <row r="1540" spans="1:1">
      <c r="A1540">
        <v>9951</v>
      </c>
    </row>
    <row r="1541" spans="1:1">
      <c r="A1541">
        <v>9955</v>
      </c>
    </row>
    <row r="1542" spans="1:1">
      <c r="A1542">
        <v>9958</v>
      </c>
    </row>
    <row r="1543" spans="1:1">
      <c r="A1543">
        <v>9960</v>
      </c>
    </row>
    <row r="1544" spans="1:1">
      <c r="A1544">
        <v>9962</v>
      </c>
    </row>
  </sheetData>
  <autoFilter ref="A1:AC1544"/>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5123" r:id="rId4" name="CommandButton3">
          <controlPr defaultSize="0" autoLine="0" autoPict="0" r:id="rId5">
            <anchor moveWithCells="1">
              <from>
                <xdr:col>13</xdr:col>
                <xdr:colOff>19050</xdr:colOff>
                <xdr:row>0</xdr:row>
                <xdr:rowOff>19050</xdr:rowOff>
              </from>
              <to>
                <xdr:col>13</xdr:col>
                <xdr:colOff>809625</xdr:colOff>
                <xdr:row>0</xdr:row>
                <xdr:rowOff>333375</xdr:rowOff>
              </to>
            </anchor>
          </controlPr>
        </control>
      </mc:Choice>
      <mc:Fallback>
        <control shapeId="5123" r:id="rId4" name="CommandButton3"/>
      </mc:Fallback>
    </mc:AlternateContent>
    <mc:AlternateContent xmlns:mc="http://schemas.openxmlformats.org/markup-compatibility/2006">
      <mc:Choice Requires="x14">
        <control shapeId="5122" r:id="rId6" name="CommandButton2">
          <controlPr defaultSize="0" autoLine="0" r:id="rId7">
            <anchor moveWithCells="1">
              <from>
                <xdr:col>12</xdr:col>
                <xdr:colOff>38100</xdr:colOff>
                <xdr:row>0</xdr:row>
                <xdr:rowOff>19050</xdr:rowOff>
              </from>
              <to>
                <xdr:col>12</xdr:col>
                <xdr:colOff>733425</xdr:colOff>
                <xdr:row>0</xdr:row>
                <xdr:rowOff>342900</xdr:rowOff>
              </to>
            </anchor>
          </controlPr>
        </control>
      </mc:Choice>
      <mc:Fallback>
        <control shapeId="5122" r:id="rId6" name="CommandButton2"/>
      </mc:Fallback>
    </mc:AlternateContent>
    <mc:AlternateContent xmlns:mc="http://schemas.openxmlformats.org/markup-compatibility/2006">
      <mc:Choice Requires="x14">
        <control shapeId="5121" r:id="rId8" name="CommandButton1">
          <controlPr defaultSize="0" autoLine="0" r:id="rId9">
            <anchor moveWithCells="1">
              <from>
                <xdr:col>11</xdr:col>
                <xdr:colOff>28575</xdr:colOff>
                <xdr:row>0</xdr:row>
                <xdr:rowOff>9525</xdr:rowOff>
              </from>
              <to>
                <xdr:col>11</xdr:col>
                <xdr:colOff>742950</xdr:colOff>
                <xdr:row>0</xdr:row>
                <xdr:rowOff>333375</xdr:rowOff>
              </to>
            </anchor>
          </controlPr>
        </control>
      </mc:Choice>
      <mc:Fallback>
        <control shapeId="5121" r:id="rId8"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已命名的範圍</vt:lpstr>
      </vt:variant>
      <vt:variant>
        <vt:i4>15</vt:i4>
      </vt:variant>
    </vt:vector>
  </HeadingPairs>
  <TitlesOfParts>
    <vt:vector size="31" baseType="lpstr">
      <vt:lpstr>基本設定</vt:lpstr>
      <vt:lpstr>收盤價</vt:lpstr>
      <vt:lpstr>紅綠燈</vt:lpstr>
      <vt:lpstr>評比系統</vt:lpstr>
      <vt:lpstr>篩股系統</vt:lpstr>
      <vt:lpstr>財報PK</vt:lpstr>
      <vt:lpstr>PK</vt:lpstr>
      <vt:lpstr>PKA</vt:lpstr>
      <vt:lpstr>PKB</vt:lpstr>
      <vt:lpstr>PKC</vt:lpstr>
      <vt:lpstr>福邦</vt:lpstr>
      <vt:lpstr>營收搶先報</vt:lpstr>
      <vt:lpstr>訊息追蹤</vt:lpstr>
      <vt:lpstr>PSR</vt:lpstr>
      <vt:lpstr>PRS</vt:lpstr>
      <vt:lpstr>篩穀結果</vt:lpstr>
      <vt:lpstr>篩股系統!外部資料_119</vt:lpstr>
      <vt:lpstr>紅綠燈!外部資料_15</vt:lpstr>
      <vt:lpstr>紅綠燈!外部資料_27</vt:lpstr>
      <vt:lpstr>PKC!外部資料_580</vt:lpstr>
      <vt:lpstr>PKC!外部資料_581</vt:lpstr>
      <vt:lpstr>PKC!外部資料_582</vt:lpstr>
      <vt:lpstr>PKA!外部資料_724</vt:lpstr>
      <vt:lpstr>PKA!外部資料_725</vt:lpstr>
      <vt:lpstr>PKA!外部資料_726</vt:lpstr>
      <vt:lpstr>PKB!外部資料_728</vt:lpstr>
      <vt:lpstr>PKB!外部資料_729</vt:lpstr>
      <vt:lpstr>PKB!外部資料_730</vt:lpstr>
      <vt:lpstr>篩股系統!外部資料_76</vt:lpstr>
      <vt:lpstr>收盤價!國內上市</vt:lpstr>
      <vt:lpstr>收盤價!國內上市_6</vt:lpstr>
    </vt:vector>
  </TitlesOfParts>
  <Company>Home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Win7User</dc:creator>
  <cp:lastModifiedBy>SW</cp:lastModifiedBy>
  <dcterms:created xsi:type="dcterms:W3CDTF">2015-03-09T15:48:32Z</dcterms:created>
  <dcterms:modified xsi:type="dcterms:W3CDTF">2015-10-25T15:32:45Z</dcterms:modified>
</cp:coreProperties>
</file>